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d6649a3ce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ion" sheetId="1" r:id="Rae246bf55ca64dd1"/>
    <x:sheet xmlns:r="http://schemas.openxmlformats.org/officeDocument/2006/relationships" name="Assumptions" sheetId="2" r:id="Rddc9ada81e14496d"/>
    <x:sheet xmlns:r="http://schemas.openxmlformats.org/officeDocument/2006/relationships" name="Cash flow" sheetId="3" r:id="R33f4f648502648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(#,##0);&quot;–&quot;"/>
    <x:numFmt numFmtId="201" formatCode="0.0&quot;%&quot;"/>
    <x:numFmt numFmtId="202" formatCode="&quot;₹&quot;0.00;(&quot;₹&quot;0.00);&quot;–&quot;"/>
    <x:numFmt numFmtId="203" formatCode="0.0%;(0.0%);&quot;–&quot;"/>
    <x:numFmt numFmtId="204" formatCode="0.00;(0.00)"/>
  </x:numFmts>
  <x:fonts count="8">
    <x:font>
      <x:sz val="11"/>
      <x:name val="Carlito"/>
    </x:font>
    <x:font>
      <x:sz val="10"/>
      <x:color rgb="FF163C32"/>
      <x:name val="Arial"/>
    </x:font>
    <x:font>
      <x:b/>
      <x:sz val="16"/>
      <x:color rgb="FF073E32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0"/>
      <x:color rgb="FF163C32"/>
      <x:name val="Arial"/>
    </x:font>
    <x:font>
      <x:sz val="10"/>
      <x:color rgb="FF008000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9"/>
      </x:patternFill>
    </x:fill>
    <x:fill>
      <x:patternFill patternType="solid">
        <x:fgColor rgb="FF073E32"/>
      </x:patternFill>
    </x:fill>
    <x:fill>
      <x:patternFill patternType="solid">
        <x:fgColor rgb="FFE6EED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0" fontId="6" fillId="0" borderId="0" xfId="0" applyNumberFormat="1" applyFont="1" applyFill="1" applyBorder="1"/>
    <x:xf numFmtId="200" fontId="7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025"/>
      </x:font>
      <x:fill>
        <x:patternFill patternType="solid">
          <x:bgColor rgb="FFFDEC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e49f40cc94315" /><Relationship Type="http://schemas.openxmlformats.org/officeDocument/2006/relationships/theme" Target="/xl/theme/theme1.xml" Id="R7c8d6c5287ec4431" /><Relationship Type="http://schemas.openxmlformats.org/officeDocument/2006/relationships/sharedStrings" Target="/xl/sharedStrings.xml" Id="R02d13844021e41a0" /><Relationship Type="http://schemas.openxmlformats.org/officeDocument/2006/relationships/worksheet" Target="/xl/worksheets/sheet1.xml" Id="Rae246bf55ca64dd1" /><Relationship Type="http://schemas.openxmlformats.org/officeDocument/2006/relationships/worksheet" Target="/xl/worksheets/sheet2.xml" Id="Rddc9ada81e14496d" /><Relationship Type="http://schemas.openxmlformats.org/officeDocument/2006/relationships/worksheet" Target="/xl/worksheets/sheet3.xml" Id="R33f4f648502648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29682f901a4436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Monthly closing cash (INR)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Closing cash</c:v>
          </c:tx>
          <c:spPr>
            <a:ln xmlns:a="http://schemas.openxmlformats.org/drawingml/2006/main" w="19050">
              <a:solidFill>
                <a:srgbClr val="5A823D"/>
              </a:solidFill>
              <a:prstDash val="solid"/>
            </a:ln>
          </c:spPr>
          <c:marker>
            <c:symbol val="none"/>
          </c:marker>
          <c:cat>
            <c:strRef>
              <c:f>'Cash flow'!$A$64:$A$75</c:f>
              <c:strCache>
                <c:ptCount val="0"/>
              </c:strCache>
            </c:strRef>
          </c:cat>
          <c:val>
            <c:numRef>
              <c:f>'Cash flow'!$J$64:$J$75</c:f>
              <c:numCache>
                <c:formatCode>#,##0;(#,##0);"–"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4</xdr:row>
      <xdr:rowOff>0</xdr:rowOff>
    </xdr:from>
    <xdr:to>
      <xdr:col>13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29682f901a4436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36976158b9a4143" /></Relationships>
</file>

<file path=xl/worksheets/sheet1.xml><?xml version="1.0" encoding="utf-8"?>
<x:worksheet xmlns:x="http://schemas.openxmlformats.org/spreadsheetml/2006/main">
  <x:sheetPr>
    <x:tabColor rgb="FF073E3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1" hidden="0" customWidth="1"/>
    <x:col min="3" max="3" width="21" hidden="0" customWidth="1"/>
    <x:col min="4" max="4" width="21" hidden="0" customWidth="1"/>
  </x:cols>
  <x:sheetData>
    <x:row r="1" ht="1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Al Kaneez plant projection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 t="str">
        <x:v>Proposed acquisition. Starting case: 200 buffalo/day, 2 days/week.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8" customHeight="1">
      <x:c r="A5" s="12" t="str">
        <x:v>Production / profit and loss</x:v>
      </x:c>
      <x:c r="B5" s="12" t="str">
        <x:v>Weekly</x:v>
      </x:c>
      <x:c r="C5" s="12" t="str">
        <x:v>Average month</x:v>
      </x:c>
      <x:c r="D5" s="12" t="str">
        <x:v>Year 1</x:v>
      </x:c>
      <x:c r="E5" s="1"/>
      <x:c r="F5" s="1"/>
      <x:c r="G5" s="1"/>
      <x:c r="H5" s="1"/>
      <x:c r="I5" s="1"/>
      <x:c r="J5" s="1"/>
      <x:c r="K5" s="1"/>
      <x:c r="L5" s="1"/>
    </x:row>
    <x:row r="6">
      <x:c r="A6" s="1" t="str">
        <x:v>Buffalo processed</x:v>
      </x:c>
      <x:c r="B6" s="7" t="n">
        <x:f>Assumptions!$B$6*Assumptions!$B$7</x:f>
        <x:v>400</x:v>
      </x:c>
      <x:c r="C6" s="7" t="n">
        <x:f>B6*52/12</x:f>
        <x:v>1733.3333333333333</x:v>
      </x:c>
      <x:c r="D6" s="7" t="n">
        <x:f>B6*52</x:f>
        <x:v>20800</x:v>
      </x:c>
      <x:c r="E6" s="1"/>
      <x:c r="F6" s="1"/>
      <x:c r="G6" s="1"/>
      <x:c r="H6" s="1"/>
      <x:c r="I6" s="1"/>
      <x:c r="J6" s="1"/>
      <x:c r="K6" s="1"/>
      <x:c r="L6" s="1"/>
    </x:row>
    <x:row r="7">
      <x:c r="A7" s="1" t="str">
        <x:v>Total live weight (kg)</x:v>
      </x:c>
      <x:c r="B7" s="7" t="n">
        <x:f>B6*Assumptions!$B$8</x:f>
        <x:v>16000</x:v>
      </x:c>
      <x:c r="C7" s="7" t="n">
        <x:f>B7*52/12</x:f>
        <x:v>69333.33333333333</x:v>
      </x:c>
      <x:c r="D7" s="7" t="n">
        <x:f>B7*52</x:f>
        <x:v>832000</x:v>
      </x:c>
      <x:c r="E7" s="1"/>
      <x:c r="F7" s="1"/>
      <x:c r="G7" s="1"/>
      <x:c r="H7" s="1"/>
      <x:c r="I7" s="1"/>
      <x:c r="J7" s="1"/>
      <x:c r="K7" s="1"/>
      <x:c r="L7" s="1"/>
    </x:row>
    <x:row r="8">
      <x:c r="A8" s="1" t="str">
        <x:v>Finished product (kg)</x:v>
      </x:c>
      <x:c r="B8" s="7" t="n">
        <x:f>B7*Assumptions!$B$10/100</x:f>
        <x:v>9920</x:v>
      </x:c>
      <x:c r="C8" s="7" t="n">
        <x:f>B8*52/12</x:f>
        <x:v>42986.666666666664</x:v>
      </x:c>
      <x:c r="D8" s="7" t="n">
        <x:f>B8*52</x:f>
        <x:v>515840</x:v>
      </x:c>
      <x:c r="E8" s="1"/>
      <x:c r="F8" s="1"/>
      <x:c r="G8" s="1"/>
      <x:c r="H8" s="1"/>
      <x:c r="I8" s="1"/>
      <x:c r="J8" s="1"/>
      <x:c r="K8" s="1"/>
      <x:c r="L8" s="1"/>
    </x:row>
    <x:row r="9">
      <x:c r="A9" s="1" t="str">
        <x:v>Product sales</x:v>
      </x:c>
      <x:c r="B9" s="7" t="n">
        <x:f>B8*Assumptions!$B$11</x:f>
        <x:v>2480000</x:v>
      </x:c>
      <x:c r="C9" s="7" t="n">
        <x:f>B9*52/12</x:f>
        <x:v>10746666.666666666</x:v>
      </x:c>
      <x:c r="D9" s="7" t="n">
        <x:f>B9*52</x:f>
        <x:v>128960000</x:v>
      </x:c>
      <x:c r="E9" s="1"/>
      <x:c r="F9" s="1"/>
      <x:c r="G9" s="1"/>
      <x:c r="H9" s="1"/>
      <x:c r="I9" s="1"/>
      <x:c r="J9" s="1"/>
      <x:c r="K9" s="1"/>
      <x:c r="L9" s="1"/>
    </x:row>
    <x:row r="10">
      <x:c r="A10" s="1" t="str">
        <x:v>All recovery income</x:v>
      </x:c>
      <x:c r="B10" s="7" t="n">
        <x:f>B6*Assumptions!$B$12+B28</x:f>
        <x:v>521600</x:v>
      </x:c>
      <x:c r="C10" s="7" t="n">
        <x:f>B10*52/12</x:f>
        <x:v>2260266.6666666665</x:v>
      </x:c>
      <x:c r="D10" s="7" t="n">
        <x:f>B10*52</x:f>
        <x:v>27123200</x:v>
      </x:c>
      <x:c r="E10" s="1"/>
      <x:c r="F10" s="1"/>
      <x:c r="G10" s="1"/>
      <x:c r="H10" s="1"/>
      <x:c r="I10" s="1"/>
      <x:c r="J10" s="1"/>
      <x:c r="K10" s="1"/>
      <x:c r="L10" s="1"/>
    </x:row>
    <x:row r="11">
      <x:c r="A11" s="15" t="str">
        <x:v>Total revenue</x:v>
      </x:c>
      <x:c r="B11" s="16" t="n">
        <x:f>SUM(B9:B10)</x:f>
        <x:v>3001600</x:v>
      </x:c>
      <x:c r="C11" s="16" t="n">
        <x:f>B11*52/12</x:f>
        <x:v>13006933.333333334</x:v>
      </x:c>
      <x:c r="D11" s="16" t="n">
        <x:f>B11*52</x:f>
        <x:v>156083200</x:v>
      </x:c>
      <x:c r="E11" s="1"/>
      <x:c r="F11" s="1"/>
      <x:c r="G11" s="1"/>
      <x:c r="H11" s="1"/>
      <x:c r="I11" s="1"/>
      <x:c r="J11" s="1"/>
      <x:c r="K11" s="1"/>
      <x:c r="L11" s="1"/>
    </x:row>
    <x:row r="12">
      <x:c r="A12" s="1" t="str">
        <x:v>Livestock purchase</x:v>
      </x:c>
      <x:c r="B12" s="7" t="n">
        <x:f>B7*Assumptions!$B$9</x:f>
        <x:v>2160000</x:v>
      </x:c>
      <x:c r="C12" s="7" t="n">
        <x:f>B12*52/12</x:f>
        <x:v>9360000</x:v>
      </x:c>
      <x:c r="D12" s="7" t="n">
        <x:f>B12*52</x:f>
        <x:v>112320000</x:v>
      </x:c>
      <x:c r="E12" s="1"/>
      <x:c r="F12" s="1"/>
      <x:c r="G12" s="1"/>
      <x:c r="H12" s="1"/>
      <x:c r="I12" s="1"/>
      <x:c r="J12" s="1"/>
      <x:c r="K12" s="1"/>
      <x:c r="L12" s="1"/>
    </x:row>
    <x:row r="13">
      <x:c r="A13" s="1" t="str">
        <x:v>Processing and packaging</x:v>
      </x:c>
      <x:c r="B13" s="7" t="n">
        <x:f>B8*Assumptions!$B$13</x:f>
        <x:v>347200</x:v>
      </x:c>
      <x:c r="C13" s="7" t="n">
        <x:f>B13*52/12</x:f>
        <x:v>1504533.3333333333</x:v>
      </x:c>
      <x:c r="D13" s="7" t="n">
        <x:f>B13*52</x:f>
        <x:v>18054400</x:v>
      </x:c>
      <x:c r="E13" s="1"/>
      <x:c r="F13" s="1"/>
      <x:c r="G13" s="1"/>
      <x:c r="H13" s="1"/>
      <x:c r="I13" s="1"/>
      <x:c r="J13" s="1"/>
      <x:c r="K13" s="1"/>
      <x:c r="L13" s="1"/>
    </x:row>
    <x:row r="14">
      <x:c r="A14" s="1" t="str">
        <x:v>Certification</x:v>
      </x:c>
      <x:c r="B14" s="7" t="n">
        <x:f>B8*Assumptions!$B$14</x:f>
        <x:v>59520</x:v>
      </x:c>
      <x:c r="C14" s="7" t="n">
        <x:f>B14*52/12</x:f>
        <x:v>257920</x:v>
      </x:c>
      <x:c r="D14" s="7" t="n">
        <x:f>B14*52</x:f>
        <x:v>3095040</x:v>
      </x:c>
      <x:c r="E14" s="1"/>
      <x:c r="F14" s="1"/>
      <x:c r="G14" s="1"/>
      <x:c r="H14" s="1"/>
      <x:c r="I14" s="1"/>
      <x:c r="J14" s="1"/>
      <x:c r="K14" s="1"/>
      <x:c r="L14" s="1"/>
    </x:row>
    <x:row r="15">
      <x:c r="A15" s="1" t="str">
        <x:v>Freight / dispatch</x:v>
      </x:c>
      <x:c r="B15" s="7" t="n">
        <x:f>B8/28500*Assumptions!$B$15</x:f>
        <x:v>73790.87719298246</x:v>
      </x:c>
      <x:c r="C15" s="7" t="n">
        <x:f>B15*52/12</x:f>
        <x:v>319760.4678362573</x:v>
      </x:c>
      <x:c r="D15" s="7" t="n">
        <x:f>B15*52</x:f>
        <x:v>3837125.6140350876</x:v>
      </x:c>
      <x:c r="E15" s="1"/>
      <x:c r="F15" s="1"/>
      <x:c r="G15" s="1"/>
      <x:c r="H15" s="1"/>
      <x:c r="I15" s="1"/>
      <x:c r="J15" s="1"/>
      <x:c r="K15" s="1"/>
      <x:c r="L15" s="1"/>
    </x:row>
    <x:row r="16">
      <x:c r="A16" s="15" t="str">
        <x:v>Total variable costs</x:v>
      </x:c>
      <x:c r="B16" s="16" t="n">
        <x:f>SUM(B12:B15)</x:f>
        <x:v>2640510.8771929825</x:v>
      </x:c>
      <x:c r="C16" s="16" t="n">
        <x:f>B16*52/12</x:f>
        <x:v>11442213.801169591</x:v>
      </x:c>
      <x:c r="D16" s="16" t="n">
        <x:f>B16*52</x:f>
        <x:v>137306565.6140351</x:v>
      </x:c>
      <x:c r="E16" s="1"/>
      <x:c r="F16" s="1"/>
      <x:c r="G16" s="1"/>
      <x:c r="H16" s="1"/>
      <x:c r="I16" s="1"/>
      <x:c r="J16" s="1"/>
      <x:c r="K16" s="1"/>
      <x:c r="L16" s="1"/>
    </x:row>
    <x:row r="17">
      <x:c r="A17" s="15" t="str">
        <x:v>Gross profit</x:v>
      </x:c>
      <x:c r="B17" s="16" t="n">
        <x:f>B11-B16</x:f>
        <x:v>361089.1228070175</x:v>
      </x:c>
      <x:c r="C17" s="16" t="n">
        <x:f>B17*52/12</x:f>
        <x:v>1564719.5321637427</x:v>
      </x:c>
      <x:c r="D17" s="16" t="n">
        <x:f>B17*52</x:f>
        <x:v>18776634.38596491</x:v>
      </x:c>
      <x:c r="E17" s="1"/>
      <x:c r="F17" s="1"/>
      <x:c r="G17" s="1"/>
      <x:c r="H17" s="1"/>
      <x:c r="I17" s="1"/>
      <x:c r="J17" s="1"/>
      <x:c r="K17" s="1"/>
      <x:c r="L17" s="1"/>
    </x:row>
    <x:row r="18">
      <x:c r="A18" s="1" t="str">
        <x:v>Fixed operating overheads</x:v>
      </x:c>
      <x:c r="B18" s="7" t="n">
        <x:f>Assumptions!$B$16*12/52</x:f>
        <x:v>0</x:v>
      </x:c>
      <x:c r="C18" s="7" t="n">
        <x:f>B18*52/12</x:f>
        <x:v>0</x:v>
      </x:c>
      <x:c r="D18" s="7" t="n">
        <x:f>B18*52</x:f>
        <x:v>0</x:v>
      </x:c>
      <x:c r="E18" s="1"/>
      <x:c r="F18" s="1"/>
      <x:c r="G18" s="1"/>
      <x:c r="H18" s="1"/>
      <x:c r="I18" s="1"/>
      <x:c r="J18" s="1"/>
      <x:c r="K18" s="1"/>
      <x:c r="L18" s="1"/>
    </x:row>
    <x:row r="19">
      <x:c r="A19" s="15" t="str">
        <x:v>EBITDA</x:v>
      </x:c>
      <x:c r="B19" s="16" t="n">
        <x:f>B17-B18</x:f>
        <x:v>361089.1228070175</x:v>
      </x:c>
      <x:c r="C19" s="16" t="n">
        <x:f>B19*52/12</x:f>
        <x:v>1564719.5321637427</x:v>
      </x:c>
      <x:c r="D19" s="16" t="n">
        <x:f>B19*52</x:f>
        <x:v>18776634.38596491</x:v>
      </x:c>
      <x:c r="E19" s="1"/>
      <x:c r="F19" s="1"/>
      <x:c r="G19" s="1"/>
      <x:c r="H19" s="1"/>
      <x:c r="I19" s="1"/>
      <x:c r="J19" s="1"/>
      <x:c r="K19" s="1"/>
      <x:c r="L19" s="1"/>
    </x:row>
    <x:row r="20">
      <x:c r="A20" s="1" t="str">
        <x:v>Depreciation</x:v>
      </x:c>
      <x:c r="B20" s="7" t="n">
        <x:f>Assumptions!$B$19/52</x:f>
        <x:v>0</x:v>
      </x:c>
      <x:c r="C20" s="7" t="n">
        <x:f>B20*52/12</x:f>
        <x:v>0</x:v>
      </x:c>
      <x:c r="D20" s="7" t="n">
        <x:f>B20*52</x:f>
        <x:v>0</x:v>
      </x:c>
      <x:c r="E20" s="1"/>
      <x:c r="F20" s="1"/>
      <x:c r="G20" s="1"/>
      <x:c r="H20" s="1"/>
      <x:c r="I20" s="1"/>
      <x:c r="J20" s="1"/>
      <x:c r="K20" s="1"/>
      <x:c r="L20" s="1"/>
    </x:row>
    <x:row r="21">
      <x:c r="A21" s="1" t="str">
        <x:v>Interest expense</x:v>
      </x:c>
      <x:c r="B21" s="7" t="n">
        <x:f>Assumptions!$B$17*12/52</x:f>
        <x:v>0</x:v>
      </x:c>
      <x:c r="C21" s="7" t="n">
        <x:f>B21*52/12</x:f>
        <x:v>0</x:v>
      </x:c>
      <x:c r="D21" s="7" t="n">
        <x:f>B21*52</x:f>
        <x:v>0</x:v>
      </x:c>
      <x:c r="E21" s="1"/>
      <x:c r="F21" s="1"/>
      <x:c r="G21" s="1"/>
      <x:c r="H21" s="1"/>
      <x:c r="I21" s="1"/>
      <x:c r="J21" s="1"/>
      <x:c r="K21" s="1"/>
      <x:c r="L21" s="1"/>
    </x:row>
    <x:row r="22">
      <x:c r="A22" s="15" t="str">
        <x:v>Profit before tax</x:v>
      </x:c>
      <x:c r="B22" s="16" t="n">
        <x:f>B19-B20-B21</x:f>
        <x:v>361089.1228070175</x:v>
      </x:c>
      <x:c r="C22" s="16" t="n">
        <x:f>B22*52/12</x:f>
        <x:v>1564719.5321637427</x:v>
      </x:c>
      <x:c r="D22" s="16" t="n">
        <x:f>B22*52</x:f>
        <x:v>18776634.38596491</x:v>
      </x:c>
      <x:c r="E22" s="1"/>
      <x:c r="F22" s="1"/>
      <x:c r="G22" s="1"/>
      <x:c r="H22" s="1"/>
      <x:c r="I22" s="1"/>
      <x:c r="J22" s="1"/>
      <x:c r="K22" s="1"/>
      <x:c r="L22" s="1"/>
    </x:row>
    <x:row r="23">
      <x:c r="A23" s="1" t="str">
        <x:v>Tax expense</x:v>
      </x:c>
      <x:c r="B23" s="7" t="n">
        <x:f>MAX(0,B22)*Assumptions!$B$20/100</x:f>
        <x:v>0</x:v>
      </x:c>
      <x:c r="C23" s="7" t="n">
        <x:f>B23*52/12</x:f>
        <x:v>0</x:v>
      </x:c>
      <x:c r="D23" s="7" t="n">
        <x:f>B23*52</x:f>
        <x:v>0</x:v>
      </x:c>
      <x:c r="E23" s="1"/>
      <x:c r="F23" s="1"/>
      <x:c r="G23" s="1"/>
      <x:c r="H23" s="1"/>
      <x:c r="I23" s="1"/>
      <x:c r="J23" s="1"/>
      <x:c r="K23" s="1"/>
      <x:c r="L23" s="1"/>
    </x:row>
    <x:row r="24">
      <x:c r="A24" s="15" t="str">
        <x:v>Net profit</x:v>
      </x:c>
      <x:c r="B24" s="16" t="n">
        <x:f>B22-B23</x:f>
        <x:v>361089.1228070175</x:v>
      </x:c>
      <x:c r="C24" s="16" t="n">
        <x:f>B24*52/12</x:f>
        <x:v>1564719.5321637427</x:v>
      </x:c>
      <x:c r="D24" s="16" t="n">
        <x:f>B24*52</x:f>
        <x:v>18776634.38596491</x:v>
      </x:c>
      <x:c r="E24" s="1"/>
      <x:c r="F24" s="1"/>
      <x:c r="G24" s="1"/>
      <x:c r="H24" s="1"/>
      <x:c r="I24" s="1"/>
      <x:c r="J24" s="1"/>
      <x:c r="K24" s="1"/>
      <x:c r="L24" s="1"/>
    </x:row>
    <x:row r="25">
      <x:c r="A25" s="1" t="str">
        <x:v>Principal repayment (cash only)</x:v>
      </x:c>
      <x:c r="B25" s="7" t="n">
        <x:f>Assumptions!$B$18*12/52</x:f>
        <x:v>0</x:v>
      </x:c>
      <x:c r="C25" s="7" t="n">
        <x:f>B25*52/12</x:f>
        <x:v>0</x:v>
      </x:c>
      <x:c r="D25" s="7" t="n">
        <x:f>B25*52</x:f>
        <x:v>0</x:v>
      </x:c>
      <x:c r="E25" s="1"/>
      <x:c r="F25" s="1" t="str">
        <x:v>Monthly cash uses 4/4/5-week planning periods.</x:v>
      </x:c>
      <x:c r="G25" s="1"/>
      <x:c r="H25" s="1"/>
      <x:c r="I25" s="1"/>
      <x:c r="J25" s="1"/>
      <x:c r="K25" s="1"/>
      <x:c r="L25" s="1"/>
    </x:row>
    <x:row r="26">
      <x:c r="A26" s="1" t="str">
        <x:v>Break-even selling price / kg</x:v>
      </x:c>
      <x:c r="B26" s="8" t="n">
        <x:f>(B16+B18+B20+B21-B10)/B8</x:f>
        <x:v>213.59988681380872</x:v>
      </x:c>
      <x:c r="C26" s="8" t="n">
        <x:f>B26</x:f>
        <x:v>213.59988681380872</x:v>
      </x:c>
      <x:c r="D26" s="8" t="n">
        <x:f>B26</x:f>
        <x:v>213.59988681380872</x:v>
      </x:c>
      <x:c r="E26" s="1"/>
      <x:c r="F26" s="1" t="str">
        <x:v>Closing cash includes acquisition, payment terms and financing costs.</x:v>
      </x:c>
      <x:c r="G26" s="1"/>
      <x:c r="H26" s="1"/>
      <x:c r="I26" s="1"/>
      <x:c r="J26" s="1"/>
      <x:c r="K26" s="1"/>
      <x:c r="L26" s="1"/>
    </x:row>
    <x:row r="27">
      <x:c r="A27" s="1" t="str">
        <x:v>Net profit margin</x:v>
      </x:c>
      <x:c r="B27" s="9" t="n">
        <x:f>B24/B11</x:f>
        <x:v>0.12029888153218868</x:v>
      </x:c>
      <x:c r="C27" s="9" t="n">
        <x:f>B27</x:f>
        <x:v>0.12029888153218868</x:v>
      </x:c>
      <x:c r="D27" s="9" t="n">
        <x:f>B27</x:f>
        <x:v>0.12029888153218868</x:v>
      </x:c>
      <x:c r="E27" s="1"/>
      <x:c r="F27" s="1"/>
      <x:c r="G27" s="1"/>
      <x:c r="H27" s="1"/>
      <x:c r="I27" s="1"/>
      <x:c r="J27" s="1"/>
      <x:c r="K27" s="1"/>
      <x:c r="L27" s="1"/>
    </x:row>
    <x:row r="28">
      <x:c r="A28" s="1" t="str">
        <x:v>Bones / balance income (within recovery)</x:v>
      </x:c>
      <x:c r="B28" s="7" t="n">
        <x:f>B29*Assumptions!$B$25</x:f>
        <x:v>121600</x:v>
      </x:c>
      <x:c r="C28" s="7" t="n">
        <x:f>B28*52/12</x:f>
        <x:v>526933.3333333334</x:v>
      </x:c>
      <x:c r="D28" s="7" t="n">
        <x:f>B28*52</x:f>
        <x:v>6323200</x:v>
      </x:c>
      <x:c r="E28" s="1"/>
      <x:c r="F28" s="1" t="str">
        <x:v>Enter actual acquisition and overhead costs on Assumptions.</x:v>
      </x:c>
      <x:c r="G28" s="1"/>
      <x:c r="H28" s="1"/>
      <x:c r="I28" s="1"/>
      <x:c r="J28" s="1"/>
      <x:c r="K28" s="1"/>
      <x:c r="L28" s="1"/>
    </x:row>
    <x:row r="29">
      <x:c r="A29" s="1" t="str">
        <x:v>Bones / balance sold (kg)</x:v>
      </x:c>
      <x:c r="B29" s="7" t="n">
        <x:f>B7-B8</x:f>
        <x:v>6080</x:v>
      </x:c>
      <x:c r="C29" s="7" t="n">
        <x:f>B29*52/12</x:f>
        <x:v>26346.666666666668</x:v>
      </x:c>
      <x:c r="D29" s="7" t="n">
        <x:f>B29*52</x:f>
        <x:v>316160</x:v>
      </x:c>
      <x:c r="E29" s="1"/>
      <x:c r="F29" s="1" t="str">
        <x:v>Default selling price is illustrative, not a market quotation.</x:v>
      </x:c>
      <x:c r="G29" s="1"/>
      <x:c r="H29" s="1"/>
      <x:c r="I29" s="1"/>
      <x:c r="J29" s="1"/>
      <x:c r="K29" s="1"/>
      <x:c r="L29" s="1"/>
    </x:row>
    <x:row r="30" ht="28" customHeight="1">
      <x:c r="A30" s="12" t="str">
        <x:v>Cash position and funding</x:v>
      </x:c>
      <x:c r="B30" s="12" t="str">
        <x:v>Year 1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>
      <x:c r="A31" s="1" t="str">
        <x:v>Opening cash</x:v>
      </x:c>
      <x:c r="B31" s="7" t="n">
        <x:f>Assumptions!$B$24</x:f>
        <x:v>0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>
      <x:c r="A32" s="1" t="str">
        <x:v>Operating cash generated</x:v>
      </x:c>
      <x:c r="B32" s="7" t="n">
        <x:f>SUM('Cash flow'!F6:F57)</x:f>
        <x:v>18776634.385964938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>
      <x:c r="A33" s="1" t="str">
        <x:v>Acquisition / setup payment</x:v>
      </x:c>
      <x:c r="B33" s="7" t="n">
        <x:f>Assumptions!$B$23</x:f>
        <x:v>0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>
      <x:c r="A34" s="1" t="str">
        <x:v>Net cash change</x:v>
      </x:c>
      <x:c r="B34" s="7" t="n">
        <x:f>SUM('Cash flow'!H6:H57)</x:f>
        <x:v>18776634.385964938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>
      <x:c r="A35" s="1" t="str">
        <x:v>Year-end cash</x:v>
      </x:c>
      <x:c r="B35" s="7" t="n">
        <x:f>'Cash flow'!I57</x:f>
        <x:v>18776634.385964938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>
      <x:c r="A36" s="1" t="str">
        <x:v>Additional cash required</x:v>
      </x:c>
      <x:c r="B36" s="7" t="n">
        <x:f>MAX(0,-MIN(Assumptions!$B$24,'Cash flow'!J6:J57))</x:f>
        <x:v>2640510.8771929825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>
      <x:c r="A37" s="1" t="str">
        <x:v>Year-end receivables</x:v>
      </x:c>
      <x:c r="B37" s="7" t="n">
        <x:f>B11*Assumptions!$B$21</x:f>
        <x:v>0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>
      <x:c r="A38" s="1" t="str">
        <x:v>Year-end livestock payables</x:v>
      </x:c>
      <x:c r="B38" s="7" t="n">
        <x:f>B12*Assumptions!$B$22</x:f>
        <x:v>0</x:v>
      </x:c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>
      <x:c r="A39" s="1" t="str">
        <x:v>Cash bridge check</x:v>
      </x:c>
      <x:c r="B39" s="10" t="n">
        <x:f>ROUND(D24+D20-B37+B38-D25-B33-B34,2)</x:f>
        <x:v>0</x:v>
      </x:c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</x:sheetData>
  <x:pageMargins left="0.7" right="0.7" top="0.75" bottom="0.75" header="0.3" footer="0.3"/>
  <x:drawing xmlns:r="http://schemas.openxmlformats.org/officeDocument/2006/relationships" r:id="R536976158b9a4143"/>
</x:worksheet>
</file>

<file path=xl/worksheets/sheet2.xml><?xml version="1.0" encoding="utf-8"?>
<x:worksheet xmlns:x="http://schemas.openxmlformats.org/spreadsheetml/2006/main">
  <x:sheetPr>
    <x:tabColor rgb="FF8FAE6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1" hidden="0" customWidth="1"/>
    <x:col min="3" max="3" width="29" hidden="0" customWidth="1"/>
    <x:col min="4" max="4" width="60" hidden="0" customWidth="1"/>
  </x:cols>
  <x:sheetData>
    <x:row r="1" ht="10" customHeight="1">
      <x:c r="A1" s="1"/>
      <x:c r="B1" s="1"/>
      <x:c r="C1" s="1"/>
      <x:c r="D1" s="1"/>
    </x:row>
    <x:row r="2">
      <x:c r="A2" s="2" t="str">
        <x:v>Plant operating assumptions</x:v>
      </x:c>
      <x:c r="B2" s="1"/>
      <x:c r="C2" s="1"/>
      <x:c r="D2" s="1"/>
    </x:row>
    <x:row r="3">
      <x:c r="A3" s="1" t="str">
        <x:v>Blue values are editable. INR unless stated.</x:v>
      </x:c>
      <x:c r="B3" s="1"/>
      <x:c r="C3" s="1"/>
      <x:c r="D3" s="1"/>
    </x:row>
    <x:row r="4">
      <x:c r="A4" s="1"/>
      <x:c r="B4" s="1"/>
      <x:c r="C4" s="1"/>
      <x:c r="D4" s="1"/>
    </x:row>
    <x:row r="5" ht="28" customHeight="1">
      <x:c r="A5" s="12" t="str">
        <x:v>Driver</x:v>
      </x:c>
      <x:c r="B5" s="12" t="str">
        <x:v>Input</x:v>
      </x:c>
      <x:c r="C5" s="12" t="str">
        <x:v>Unit</x:v>
      </x:c>
      <x:c r="D5" s="12" t="str">
        <x:v>Source / assumption</x:v>
      </x:c>
    </x:row>
    <x:row r="6">
      <x:c r="A6" s="1" t="str">
        <x:v>Buffalo per operating day</x:v>
      </x:c>
      <x:c r="B6" s="5" t="n">
        <x:v>200</x:v>
      </x:c>
      <x:c r="C6" s="1" t="str">
        <x:v>head / day</x:v>
      </x:c>
      <x:c r="D6" s="1" t="str">
        <x:v>User starting scenario</x:v>
      </x:c>
    </x:row>
    <x:row r="7">
      <x:c r="A7" s="1" t="str">
        <x:v>Operating days per week</x:v>
      </x:c>
      <x:c r="B7" s="5" t="n">
        <x:v>2</x:v>
      </x:c>
      <x:c r="C7" s="1" t="str">
        <x:v>days / week</x:v>
      </x:c>
      <x:c r="D7" s="1" t="str">
        <x:v>User confirmed 2 days every week</x:v>
      </x:c>
    </x:row>
    <x:row r="8">
      <x:c r="A8" s="1" t="str">
        <x:v>Average live weight</x:v>
      </x:c>
      <x:c r="B8" s="5" t="n">
        <x:v>40</x:v>
      </x:c>
      <x:c r="C8" s="1" t="str">
        <x:v>kg / buffalo</x:v>
      </x:c>
      <x:c r="D8" s="1" t="str">
        <x:v>Supplied buffalo Calculation.xlsx, Sheet1 D6</x:v>
      </x:c>
    </x:row>
    <x:row r="9">
      <x:c r="A9" s="1" t="str">
        <x:v>Livestock price</x:v>
      </x:c>
      <x:c r="B9" s="5" t="n">
        <x:v>135</x:v>
      </x:c>
      <x:c r="C9" s="1" t="str">
        <x:v>INR / live kg</x:v>
      </x:c>
      <x:c r="D9" s="1" t="str">
        <x:v>Supplied costing workbook, D5</x:v>
      </x:c>
    </x:row>
    <x:row r="10">
      <x:c r="A10" s="1" t="str">
        <x:v>Finished product yield</x:v>
      </x:c>
      <x:c r="B10" s="6" t="n">
        <x:v>62</x:v>
      </x:c>
      <x:c r="C10" s="1" t="str">
        <x:v>% live weight</x:v>
      </x:c>
      <x:c r="D10" s="1" t="str">
        <x:v>Supplied costing workbook, D7</x:v>
      </x:c>
    </x:row>
    <x:row r="11">
      <x:c r="A11" s="1" t="str">
        <x:v>Product selling price</x:v>
      </x:c>
      <x:c r="B11" s="5" t="n">
        <x:v>250</x:v>
      </x:c>
      <x:c r="C11" s="1" t="str">
        <x:v>INR / finished kg</x:v>
      </x:c>
      <x:c r="D11" s="1" t="str">
        <x:v>Illustrative assumption; replace with actual</x:v>
      </x:c>
    </x:row>
    <x:row r="12">
      <x:c r="A12" s="1" t="str">
        <x:v>Offal and hide recovery</x:v>
      </x:c>
      <x:c r="B12" s="5" t="n">
        <x:v>1000</x:v>
      </x:c>
      <x:c r="C12" s="1" t="str">
        <x:v>INR / buffalo</x:v>
      </x:c>
      <x:c r="D12" s="1" t="str">
        <x:v>Supplied costing workbook, D11</x:v>
      </x:c>
    </x:row>
    <x:row r="13">
      <x:c r="A13" s="1" t="str">
        <x:v>Processing and packaging</x:v>
      </x:c>
      <x:c r="B13" s="5" t="n">
        <x:v>35</x:v>
      </x:c>
      <x:c r="C13" s="1" t="str">
        <x:v>INR / finished kg</x:v>
      </x:c>
      <x:c r="D13" s="1" t="str">
        <x:v>Supplied costing workbook, D14</x:v>
      </x:c>
    </x:row>
    <x:row r="14">
      <x:c r="A14" s="1" t="str">
        <x:v>Certification</x:v>
      </x:c>
      <x:c r="B14" s="5" t="n">
        <x:v>6</x:v>
      </x:c>
      <x:c r="C14" s="1" t="str">
        <x:v>INR / finished kg</x:v>
      </x:c>
      <x:c r="D14" s="1" t="str">
        <x:v>Supplied costing workbook, D16</x:v>
      </x:c>
    </x:row>
    <x:row r="15">
      <x:c r="A15" s="1" t="str">
        <x:v>Freight / dispatch per load</x:v>
      </x:c>
      <x:c r="B15" s="5" t="n">
        <x:v>212000</x:v>
      </x:c>
      <x:c r="C15" s="1" t="str">
        <x:v>INR / 28,500 kg</x:v>
      </x:c>
      <x:c r="D15" s="1" t="str">
        <x:v>Supplied costing workbook, D18</x:v>
      </x:c>
    </x:row>
    <x:row r="16">
      <x:c r="A16" s="1" t="str">
        <x:v>Fixed overheads</x:v>
      </x:c>
      <x:c r="B16" s="5" t="n">
        <x:v>0</x:v>
      </x:c>
      <x:c r="C16" s="1" t="str">
        <x:v>INR / month</x:v>
      </x:c>
      <x:c r="D16" s="1" t="str">
        <x:v>Unspecified; enter actual cost</x:v>
      </x:c>
    </x:row>
    <x:row r="17">
      <x:c r="A17" s="1" t="str">
        <x:v>Interest expense</x:v>
      </x:c>
      <x:c r="B17" s="5" t="n">
        <x:v>0</x:v>
      </x:c>
      <x:c r="C17" s="1" t="str">
        <x:v>INR / month</x:v>
      </x:c>
      <x:c r="D17" s="1" t="str">
        <x:v>Unspecified; enter actual cost</x:v>
      </x:c>
    </x:row>
    <x:row r="18">
      <x:c r="A18" s="1" t="str">
        <x:v>Principal repayments</x:v>
      </x:c>
      <x:c r="B18" s="5" t="n">
        <x:v>0</x:v>
      </x:c>
      <x:c r="C18" s="1" t="str">
        <x:v>INR / month</x:v>
      </x:c>
      <x:c r="D18" s="1" t="str">
        <x:v>Unspecified; enter repayment</x:v>
      </x:c>
    </x:row>
    <x:row r="19">
      <x:c r="A19" s="1" t="str">
        <x:v>Depreciation</x:v>
      </x:c>
      <x:c r="B19" s="5" t="n">
        <x:v>0</x:v>
      </x:c>
      <x:c r="C19" s="1" t="str">
        <x:v>INR / year</x:v>
      </x:c>
      <x:c r="D19" s="1" t="str">
        <x:v>Unspecified; enter annual expense</x:v>
      </x:c>
    </x:row>
    <x:row r="20">
      <x:c r="A20" s="1" t="str">
        <x:v>Modelled tax rate</x:v>
      </x:c>
      <x:c r="B20" s="6" t="n">
        <x:v>0</x:v>
      </x:c>
      <x:c r="C20" s="1" t="str">
        <x:v>% of positive weekly profit</x:v>
      </x:c>
      <x:c r="D20" s="1" t="str">
        <x:v>Planning assumption, not a statutory rate</x:v>
      </x:c>
    </x:row>
    <x:row r="21">
      <x:c r="A21" s="1" t="str">
        <x:v>Customer collection delay</x:v>
      </x:c>
      <x:c r="B21" s="5" t="n">
        <x:v>0</x:v>
      </x:c>
      <x:c r="C21" s="1" t="str">
        <x:v>whole weeks</x:v>
      </x:c>
      <x:c r="D21" s="1" t="str">
        <x:v>Applies to product and recovery income</x:v>
      </x:c>
    </x:row>
    <x:row r="22">
      <x:c r="A22" s="1" t="str">
        <x:v>Livestock payment delay</x:v>
      </x:c>
      <x:c r="B22" s="5" t="n">
        <x:v>0</x:v>
      </x:c>
      <x:c r="C22" s="1" t="str">
        <x:v>whole weeks</x:v>
      </x:c>
      <x:c r="D22" s="1" t="str">
        <x:v>Applies only to livestock purchases</x:v>
      </x:c>
    </x:row>
    <x:row r="23">
      <x:c r="A23" s="1" t="str">
        <x:v>Acquisition and setup cash</x:v>
      </x:c>
      <x:c r="B23" s="5" t="n">
        <x:v>0</x:v>
      </x:c>
      <x:c r="C23" s="1" t="str">
        <x:v>INR, paid week 1</x:v>
      </x:c>
      <x:c r="D23" s="1" t="str">
        <x:v>Unspecified; enter proposed acquisition/setup</x:v>
      </x:c>
    </x:row>
    <x:row r="24">
      <x:c r="A24" s="1" t="str">
        <x:v>Opening cash available</x:v>
      </x:c>
      <x:c r="B24" s="5" t="n">
        <x:v>0</x:v>
      </x:c>
      <x:c r="C24" s="1" t="str">
        <x:v>INR, before acquisition</x:v>
      </x:c>
      <x:c r="D24" s="1" t="str">
        <x:v>Include funding already available</x:v>
      </x:c>
    </x:row>
    <x:row r="25">
      <x:c r="A25" s="1" t="str">
        <x:v>Bones / balance selling price</x:v>
      </x:c>
      <x:c r="B25" s="5" t="n">
        <x:v>20</x:v>
      </x:c>
      <x:c r="C25" s="1" t="str">
        <x:v>INR / kg of balance</x:v>
      </x:c>
      <x:c r="D25" s="1" t="str">
        <x:v>User supplied INR 20/kg; applies full balance</x:v>
      </x:c>
    </x:row>
    <x:row r="26">
      <x:c r="A26" s="1"/>
      <x:c r="B26" s="1"/>
      <x:c r="C26" s="1"/>
      <x:c r="D26" s="1"/>
    </x:row>
    <x:row r="27">
      <x:c r="A27" s="1" t="str">
        <x:v>52 weeks of flat production; no holidays or seasonality.</x:v>
      </x:c>
      <x:c r="B27" s="1"/>
      <x:c r="C27" s="1"/>
      <x:c r="D27" s="1"/>
    </x:row>
    <x:row r="28">
      <x:c r="A28" s="1" t="str">
        <x:v>Monthly P&amp;L = annual / 12. Cash months follow 4/4/5 weeks each quarter.</x:v>
      </x:c>
      <x:c r="B28" s="1"/>
      <x:c r="C28" s="1"/>
      <x:c r="D28" s="1"/>
    </x:row>
    <x:row r="29">
      <x:c r="A29" s="1" t="str">
        <x:v>All product is sold in its production week; collection can be delayed.</x:v>
      </x:c>
      <x:c r="B29" s="1"/>
      <x:c r="C29" s="1"/>
      <x:c r="D29" s="1"/>
    </x:row>
    <x:row r="30">
      <x:c r="A30" s="1" t="str">
        <x:v>No opening receivables, payables or inventory. No automatic new borrowing.</x:v>
      </x:c>
      <x:c r="B30" s="1"/>
      <x:c r="C30" s="1"/>
      <x:c r="D30" s="1"/>
    </x:row>
    <x:row r="31">
      <x:c r="A31" s="1" t="str">
        <x:v>Tax is paid in the week of positive profit; depreciation is non-cash.</x:v>
      </x:c>
      <x:c r="B31" s="1"/>
      <x:c r="C31" s="1"/>
      <x:c r="D31" s="1"/>
    </x:row>
    <x:row r="32">
      <x:c r="A32" s="1" t="str">
        <x:v>Zero acquisition, overhead, finance and tax inputs are incomplete cost assumptions.</x:v>
      </x:c>
      <x:c r="B32" s="1"/>
      <x:c r="C32" s="1"/>
      <x:c r="D32" s="1"/>
    </x:row>
    <x:row r="33">
      <x:c r="A33" s="1" t="str">
        <x:v>Processing and fixed overhead inputs must avoid double-counting costs.</x:v>
      </x:c>
      <x:c r="B33" s="1"/>
      <x:c r="C33" s="1"/>
      <x:c r="D33" s="1"/>
    </x:row>
    <x:row r="34">
      <x:c r="A34" s="1" t="str">
        <x:v>Freight allocates fractional 28,500 kg loads; use domestic dispatch costs for India sales.</x:v>
      </x:c>
      <x:c r="B34" s="1"/>
      <x:c r="C34" s="1"/>
      <x:c r="D34" s="1"/>
    </x:row>
    <x:row r="35">
      <x:c r="A35" s="1" t="str">
        <x:v>Within each week cash payments precede collections; funding includes that shortfall.</x:v>
      </x:c>
      <x:c r="B35" s="1"/>
      <x:c r="C35" s="1"/>
      <x:c r="D35" s="1"/>
    </x:row>
    <x:row r="36">
      <x:c r="A36" s="1" t="str">
        <x:v>Balance sales apply to the full non-product remainder; offal/hide credit is separate.</x:v>
      </x:c>
      <x:c r="B36" s="1"/>
      <x:c r="C36" s="1"/>
      <x:c r="D36" s="1"/>
    </x:row>
    <x:row r="37">
      <x:c r="A37" s="1" t="str">
        <x:v>Set offal/hide credit to zero if it is already included in the balance sale.</x:v>
      </x:c>
      <x:c r="B37" s="1"/>
      <x:c r="C37" s="1"/>
      <x:c r="D37" s="1"/>
    </x:row>
    <x:row r="38">
      <x:c r="A38" s="1"/>
      <x:c r="B38" s="1"/>
      <x:c r="C38" s="1"/>
      <x:c r="D38" s="1"/>
    </x:row>
    <x:row r="39">
      <x:c r="A39" s="1"/>
      <x:c r="B39" s="1"/>
      <x:c r="C39" s="1"/>
      <x:c r="D39" s="1"/>
    </x:row>
    <x:row r="40">
      <x:c r="A40" s="1"/>
      <x:c r="B40" s="1"/>
      <x:c r="C40" s="1"/>
      <x:c r="D40" s="1"/>
    </x:row>
  </x:sheetData>
  <x:dataValidations count="20">
    <x:dataValidation type="whole" operator="between" sqref="B6">
      <x:formula1>1</x:formula1>
      <x:formula2>100000000000</x:formula2>
    </x:dataValidation>
    <x:dataValidation type="whole" operator="between" sqref="B7">
      <x:formula1>1</x:formula1>
      <x:formula2>7</x:formula2>
    </x:dataValidation>
    <x:dataValidation type="decimal" operator="between" sqref="B8">
      <x:formula1>0.01</x:formula1>
      <x:formula2>100000000000</x:formula2>
    </x:dataValidation>
    <x:dataValidation type="decimal" operator="between" sqref="B9">
      <x:formula1>0</x:formula1>
      <x:formula2>100000000000</x:formula2>
    </x:dataValidation>
    <x:dataValidation type="decimal" operator="between" sqref="B10">
      <x:formula1>0.01</x:formula1>
      <x:formula2>100</x:formula2>
    </x:dataValidation>
    <x:dataValidation type="decimal" operator="between" sqref="B11">
      <x:formula1>0.01</x:formula1>
      <x:formula2>100000000000</x:formula2>
    </x:dataValidation>
    <x:dataValidation type="decimal" operator="between" sqref="B12">
      <x:formula1>0</x:formula1>
      <x:formula2>100000000000</x:formula2>
    </x:dataValidation>
    <x:dataValidation type="decimal" operator="between" sqref="B13">
      <x:formula1>0</x:formula1>
      <x:formula2>100000000000</x:formula2>
    </x:dataValidation>
    <x:dataValidation type="decimal" operator="between" sqref="B14">
      <x:formula1>0</x:formula1>
      <x:formula2>100000000000</x:formula2>
    </x:dataValidation>
    <x:dataValidation type="decimal" operator="between" sqref="B15">
      <x:formula1>0</x:formula1>
      <x:formula2>100000000000</x:formula2>
    </x:dataValidation>
    <x:dataValidation type="decimal" operator="between" sqref="B16">
      <x:formula1>0</x:formula1>
      <x:formula2>100000000000</x:formula2>
    </x:dataValidation>
    <x:dataValidation type="decimal" operator="between" sqref="B17">
      <x:formula1>0</x:formula1>
      <x:formula2>100000000000</x:formula2>
    </x:dataValidation>
    <x:dataValidation type="decimal" operator="between" sqref="B18">
      <x:formula1>0</x:formula1>
      <x:formula2>100000000000</x:formula2>
    </x:dataValidation>
    <x:dataValidation type="decimal" operator="between" sqref="B19">
      <x:formula1>0</x:formula1>
      <x:formula2>100000000000</x:formula2>
    </x:dataValidation>
    <x:dataValidation type="decimal" operator="between" sqref="B20">
      <x:formula1>0</x:formula1>
      <x:formula2>100</x:formula2>
    </x:dataValidation>
    <x:dataValidation type="whole" operator="between" sqref="B21">
      <x:formula1>0</x:formula1>
      <x:formula2>52</x:formula2>
    </x:dataValidation>
    <x:dataValidation type="whole" operator="between" sqref="B22">
      <x:formula1>0</x:formula1>
      <x:formula2>52</x:formula2>
    </x:dataValidation>
    <x:dataValidation type="decimal" operator="between" sqref="B23">
      <x:formula1>0</x:formula1>
      <x:formula2>100000000000</x:formula2>
    </x:dataValidation>
    <x:dataValidation type="decimal" operator="between" sqref="B24">
      <x:formula1>0</x:formula1>
      <x:formula2>100000000000</x:formula2>
    </x:dataValidation>
    <x:dataValidation type="decimal" operator="between" sqref="B25">
      <x:formula1>0</x:formula1>
      <x:formula2>100000000000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 ht="1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Weekly and monthly cash flow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No automatic borrowing. Negative balances indicate additional funding required.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8" customHeight="1">
      <x:c r="A5" s="12" t="str">
        <x:v>Week</x:v>
      </x:c>
      <x:c r="B5" s="12" t="str">
        <x:v>Opening cash</x:v>
      </x:c>
      <x:c r="C5" s="12" t="str">
        <x:v>Collections</x:v>
      </x:c>
      <x:c r="D5" s="12" t="str">
        <x:v>Livestock paid</x:v>
      </x:c>
      <x:c r="E5" s="12" t="str">
        <x:v>Other cash costs</x:v>
      </x:c>
      <x:c r="F5" s="12" t="str">
        <x:v>Operating cash</x:v>
      </x:c>
      <x:c r="G5" s="12" t="str">
        <x:v>Acquisition/setup</x:v>
      </x:c>
      <x:c r="H5" s="12" t="str">
        <x:v>Net cash change</x:v>
      </x:c>
      <x:c r="I5" s="12" t="str">
        <x:v>Closing cash</x:v>
      </x:c>
      <x:c r="J5" s="12" t="str">
        <x:v>Cash before collections</x:v>
      </x:c>
    </x:row>
    <x:row r="6">
      <x:c r="A6" s="1" t="n">
        <x:v>1</x:v>
      </x:c>
      <x:c r="B6" s="17" t="n">
        <x:f>Assumptions!$B$24</x:f>
        <x:v>0</x:v>
      </x:c>
      <x:c r="C6" s="17" t="n">
        <x:f>IF(A6&gt;Assumptions!$B$21,Projection!$B$11,0)</x:f>
        <x:v>3001600</x:v>
      </x:c>
      <x:c r="D6" s="17" t="n">
        <x:f>IF(A6&gt;Assumptions!$B$22,Projection!$B$12,0)</x:f>
        <x:v>2160000</x:v>
      </x:c>
      <x:c r="E6" s="17" t="n">
        <x:f>SUM(Projection!$B$13:$B$15)+Projection!$B$18+Projection!$B$21+Projection!$B$23+Projection!$B$25</x:f>
        <x:v>480510.8771929825</x:v>
      </x:c>
      <x:c r="F6" s="18" t="n">
        <x:f>C6-D6-E6</x:f>
        <x:v>361089.1228070175</x:v>
      </x:c>
      <x:c r="G6" s="18" t="n">
        <x:f>IF(A6=1,Assumptions!$B$23,0)</x:f>
        <x:v>0</x:v>
      </x:c>
      <x:c r="H6" s="18" t="n">
        <x:f>F6-G6</x:f>
        <x:v>361089.1228070175</x:v>
      </x:c>
      <x:c r="I6" s="18" t="n">
        <x:f>B6+H6</x:f>
        <x:v>361089.1228070175</x:v>
      </x:c>
      <x:c r="J6" s="7" t="n">
        <x:f>B6-D6-E6-G6</x:f>
        <x:v>-2640510.8771929825</x:v>
      </x:c>
    </x:row>
    <x:row r="7">
      <x:c r="A7" s="1" t="n">
        <x:v>2</x:v>
      </x:c>
      <x:c r="B7" s="17" t="n">
        <x:f>I6</x:f>
        <x:v>361089.1228070175</x:v>
      </x:c>
      <x:c r="C7" s="17" t="n">
        <x:f>IF(A7&gt;Assumptions!$B$21,Projection!$B$11,0)</x:f>
        <x:v>3001600</x:v>
      </x:c>
      <x:c r="D7" s="17" t="n">
        <x:f>IF(A7&gt;Assumptions!$B$22,Projection!$B$12,0)</x:f>
        <x:v>2160000</x:v>
      </x:c>
      <x:c r="E7" s="17" t="n">
        <x:f>SUM(Projection!$B$13:$B$15)+Projection!$B$18+Projection!$B$21+Projection!$B$23+Projection!$B$25</x:f>
        <x:v>480510.8771929825</x:v>
      </x:c>
      <x:c r="F7" s="18" t="n">
        <x:f>C7-D7-E7</x:f>
        <x:v>361089.1228070175</x:v>
      </x:c>
      <x:c r="G7" s="18" t="n">
        <x:f>IF(A7=1,Assumptions!$B$23,0)</x:f>
        <x:v>0</x:v>
      </x:c>
      <x:c r="H7" s="18" t="n">
        <x:f>F7-G7</x:f>
        <x:v>361089.1228070175</x:v>
      </x:c>
      <x:c r="I7" s="18" t="n">
        <x:f>B7+H7</x:f>
        <x:v>722178.245614035</x:v>
      </x:c>
      <x:c r="J7" s="7" t="n">
        <x:f>B7-D7-E7-G7</x:f>
        <x:v>-2279421.754385965</x:v>
      </x:c>
    </x:row>
    <x:row r="8">
      <x:c r="A8" s="1" t="n">
        <x:v>3</x:v>
      </x:c>
      <x:c r="B8" s="17" t="n">
        <x:f>I7</x:f>
        <x:v>722178.245614035</x:v>
      </x:c>
      <x:c r="C8" s="17" t="n">
        <x:f>IF(A8&gt;Assumptions!$B$21,Projection!$B$11,0)</x:f>
        <x:v>3001600</x:v>
      </x:c>
      <x:c r="D8" s="17" t="n">
        <x:f>IF(A8&gt;Assumptions!$B$22,Projection!$B$12,0)</x:f>
        <x:v>2160000</x:v>
      </x:c>
      <x:c r="E8" s="17" t="n">
        <x:f>SUM(Projection!$B$13:$B$15)+Projection!$B$18+Projection!$B$21+Projection!$B$23+Projection!$B$25</x:f>
        <x:v>480510.8771929825</x:v>
      </x:c>
      <x:c r="F8" s="18" t="n">
        <x:f>C8-D8-E8</x:f>
        <x:v>361089.1228070175</x:v>
      </x:c>
      <x:c r="G8" s="18" t="n">
        <x:f>IF(A8=1,Assumptions!$B$23,0)</x:f>
        <x:v>0</x:v>
      </x:c>
      <x:c r="H8" s="18" t="n">
        <x:f>F8-G8</x:f>
        <x:v>361089.1228070175</x:v>
      </x:c>
      <x:c r="I8" s="18" t="n">
        <x:f>B8+H8</x:f>
        <x:v>1083267.3684210526</x:v>
      </x:c>
      <x:c r="J8" s="7" t="n">
        <x:f>B8-D8-E8-G8</x:f>
        <x:v>-1918332.6315789474</x:v>
      </x:c>
    </x:row>
    <x:row r="9">
      <x:c r="A9" s="1" t="n">
        <x:v>4</x:v>
      </x:c>
      <x:c r="B9" s="17" t="n">
        <x:f>I8</x:f>
        <x:v>1083267.3684210526</x:v>
      </x:c>
      <x:c r="C9" s="17" t="n">
        <x:f>IF(A9&gt;Assumptions!$B$21,Projection!$B$11,0)</x:f>
        <x:v>3001600</x:v>
      </x:c>
      <x:c r="D9" s="17" t="n">
        <x:f>IF(A9&gt;Assumptions!$B$22,Projection!$B$12,0)</x:f>
        <x:v>2160000</x:v>
      </x:c>
      <x:c r="E9" s="17" t="n">
        <x:f>SUM(Projection!$B$13:$B$15)+Projection!$B$18+Projection!$B$21+Projection!$B$23+Projection!$B$25</x:f>
        <x:v>480510.8771929825</x:v>
      </x:c>
      <x:c r="F9" s="18" t="n">
        <x:f>C9-D9-E9</x:f>
        <x:v>361089.1228070175</x:v>
      </x:c>
      <x:c r="G9" s="18" t="n">
        <x:f>IF(A9=1,Assumptions!$B$23,0)</x:f>
        <x:v>0</x:v>
      </x:c>
      <x:c r="H9" s="18" t="n">
        <x:f>F9-G9</x:f>
        <x:v>361089.1228070175</x:v>
      </x:c>
      <x:c r="I9" s="18" t="n">
        <x:f>B9+H9</x:f>
        <x:v>1444356.49122807</x:v>
      </x:c>
      <x:c r="J9" s="7" t="n">
        <x:f>B9-D9-E9-G9</x:f>
        <x:v>-1557243.50877193</x:v>
      </x:c>
    </x:row>
    <x:row r="10">
      <x:c r="A10" s="1" t="n">
        <x:v>5</x:v>
      </x:c>
      <x:c r="B10" s="17" t="n">
        <x:f>I9</x:f>
        <x:v>1444356.49122807</x:v>
      </x:c>
      <x:c r="C10" s="17" t="n">
        <x:f>IF(A10&gt;Assumptions!$B$21,Projection!$B$11,0)</x:f>
        <x:v>3001600</x:v>
      </x:c>
      <x:c r="D10" s="17" t="n">
        <x:f>IF(A10&gt;Assumptions!$B$22,Projection!$B$12,0)</x:f>
        <x:v>2160000</x:v>
      </x:c>
      <x:c r="E10" s="17" t="n">
        <x:f>SUM(Projection!$B$13:$B$15)+Projection!$B$18+Projection!$B$21+Projection!$B$23+Projection!$B$25</x:f>
        <x:v>480510.8771929825</x:v>
      </x:c>
      <x:c r="F10" s="18" t="n">
        <x:f>C10-D10-E10</x:f>
        <x:v>361089.1228070175</x:v>
      </x:c>
      <x:c r="G10" s="18" t="n">
        <x:f>IF(A10=1,Assumptions!$B$23,0)</x:f>
        <x:v>0</x:v>
      </x:c>
      <x:c r="H10" s="18" t="n">
        <x:f>F10-G10</x:f>
        <x:v>361089.1228070175</x:v>
      </x:c>
      <x:c r="I10" s="18" t="n">
        <x:f>B10+H10</x:f>
        <x:v>1805445.6140350876</x:v>
      </x:c>
      <x:c r="J10" s="7" t="n">
        <x:f>B10-D10-E10-G10</x:f>
        <x:v>-1196154.3859649124</x:v>
      </x:c>
    </x:row>
    <x:row r="11">
      <x:c r="A11" s="1" t="n">
        <x:v>6</x:v>
      </x:c>
      <x:c r="B11" s="17" t="n">
        <x:f>I10</x:f>
        <x:v>1805445.6140350876</x:v>
      </x:c>
      <x:c r="C11" s="17" t="n">
        <x:f>IF(A11&gt;Assumptions!$B$21,Projection!$B$11,0)</x:f>
        <x:v>3001600</x:v>
      </x:c>
      <x:c r="D11" s="17" t="n">
        <x:f>IF(A11&gt;Assumptions!$B$22,Projection!$B$12,0)</x:f>
        <x:v>2160000</x:v>
      </x:c>
      <x:c r="E11" s="17" t="n">
        <x:f>SUM(Projection!$B$13:$B$15)+Projection!$B$18+Projection!$B$21+Projection!$B$23+Projection!$B$25</x:f>
        <x:v>480510.8771929825</x:v>
      </x:c>
      <x:c r="F11" s="18" t="n">
        <x:f>C11-D11-E11</x:f>
        <x:v>361089.1228070175</x:v>
      </x:c>
      <x:c r="G11" s="18" t="n">
        <x:f>IF(A11=1,Assumptions!$B$23,0)</x:f>
        <x:v>0</x:v>
      </x:c>
      <x:c r="H11" s="18" t="n">
        <x:f>F11-G11</x:f>
        <x:v>361089.1228070175</x:v>
      </x:c>
      <x:c r="I11" s="18" t="n">
        <x:f>B11+H11</x:f>
        <x:v>2166534.736842105</x:v>
      </x:c>
      <x:c r="J11" s="7" t="n">
        <x:f>B11-D11-E11-G11</x:f>
        <x:v>-835065.2631578948</x:v>
      </x:c>
    </x:row>
    <x:row r="12">
      <x:c r="A12" s="1" t="n">
        <x:v>7</x:v>
      </x:c>
      <x:c r="B12" s="17" t="n">
        <x:f>I11</x:f>
        <x:v>2166534.736842105</x:v>
      </x:c>
      <x:c r="C12" s="17" t="n">
        <x:f>IF(A12&gt;Assumptions!$B$21,Projection!$B$11,0)</x:f>
        <x:v>3001600</x:v>
      </x:c>
      <x:c r="D12" s="17" t="n">
        <x:f>IF(A12&gt;Assumptions!$B$22,Projection!$B$12,0)</x:f>
        <x:v>2160000</x:v>
      </x:c>
      <x:c r="E12" s="17" t="n">
        <x:f>SUM(Projection!$B$13:$B$15)+Projection!$B$18+Projection!$B$21+Projection!$B$23+Projection!$B$25</x:f>
        <x:v>480510.8771929825</x:v>
      </x:c>
      <x:c r="F12" s="18" t="n">
        <x:f>C12-D12-E12</x:f>
        <x:v>361089.1228070175</x:v>
      </x:c>
      <x:c r="G12" s="18" t="n">
        <x:f>IF(A12=1,Assumptions!$B$23,0)</x:f>
        <x:v>0</x:v>
      </x:c>
      <x:c r="H12" s="18" t="n">
        <x:f>F12-G12</x:f>
        <x:v>361089.1228070175</x:v>
      </x:c>
      <x:c r="I12" s="18" t="n">
        <x:f>B12+H12</x:f>
        <x:v>2527623.8596491227</x:v>
      </x:c>
      <x:c r="J12" s="7" t="n">
        <x:f>B12-D12-E12-G12</x:f>
        <x:v>-473976.1403508773</x:v>
      </x:c>
    </x:row>
    <x:row r="13">
      <x:c r="A13" s="1" t="n">
        <x:v>8</x:v>
      </x:c>
      <x:c r="B13" s="17" t="n">
        <x:f>I12</x:f>
        <x:v>2527623.8596491227</x:v>
      </x:c>
      <x:c r="C13" s="17" t="n">
        <x:f>IF(A13&gt;Assumptions!$B$21,Projection!$B$11,0)</x:f>
        <x:v>3001600</x:v>
      </x:c>
      <x:c r="D13" s="17" t="n">
        <x:f>IF(A13&gt;Assumptions!$B$22,Projection!$B$12,0)</x:f>
        <x:v>2160000</x:v>
      </x:c>
      <x:c r="E13" s="17" t="n">
        <x:f>SUM(Projection!$B$13:$B$15)+Projection!$B$18+Projection!$B$21+Projection!$B$23+Projection!$B$25</x:f>
        <x:v>480510.8771929825</x:v>
      </x:c>
      <x:c r="F13" s="18" t="n">
        <x:f>C13-D13-E13</x:f>
        <x:v>361089.1228070175</x:v>
      </x:c>
      <x:c r="G13" s="18" t="n">
        <x:f>IF(A13=1,Assumptions!$B$23,0)</x:f>
        <x:v>0</x:v>
      </x:c>
      <x:c r="H13" s="18" t="n">
        <x:f>F13-G13</x:f>
        <x:v>361089.1228070175</x:v>
      </x:c>
      <x:c r="I13" s="18" t="n">
        <x:f>B13+H13</x:f>
        <x:v>2888712.98245614</x:v>
      </x:c>
      <x:c r="J13" s="7" t="n">
        <x:f>B13-D13-E13-G13</x:f>
        <x:v>-112887.01754385978</x:v>
      </x:c>
    </x:row>
    <x:row r="14">
      <x:c r="A14" s="1" t="n">
        <x:v>9</x:v>
      </x:c>
      <x:c r="B14" s="17" t="n">
        <x:f>I13</x:f>
        <x:v>2888712.98245614</x:v>
      </x:c>
      <x:c r="C14" s="17" t="n">
        <x:f>IF(A14&gt;Assumptions!$B$21,Projection!$B$11,0)</x:f>
        <x:v>3001600</x:v>
      </x:c>
      <x:c r="D14" s="17" t="n">
        <x:f>IF(A14&gt;Assumptions!$B$22,Projection!$B$12,0)</x:f>
        <x:v>2160000</x:v>
      </x:c>
      <x:c r="E14" s="17" t="n">
        <x:f>SUM(Projection!$B$13:$B$15)+Projection!$B$18+Projection!$B$21+Projection!$B$23+Projection!$B$25</x:f>
        <x:v>480510.8771929825</x:v>
      </x:c>
      <x:c r="F14" s="18" t="n">
        <x:f>C14-D14-E14</x:f>
        <x:v>361089.1228070175</x:v>
      </x:c>
      <x:c r="G14" s="18" t="n">
        <x:f>IF(A14=1,Assumptions!$B$23,0)</x:f>
        <x:v>0</x:v>
      </x:c>
      <x:c r="H14" s="18" t="n">
        <x:f>F14-G14</x:f>
        <x:v>361089.1228070175</x:v>
      </x:c>
      <x:c r="I14" s="18" t="n">
        <x:f>B14+H14</x:f>
        <x:v>3249802.1052631577</x:v>
      </x:c>
      <x:c r="J14" s="7" t="n">
        <x:f>B14-D14-E14-G14</x:f>
        <x:v>248202.10526315775</x:v>
      </x:c>
    </x:row>
    <x:row r="15">
      <x:c r="A15" s="1" t="n">
        <x:v>10</x:v>
      </x:c>
      <x:c r="B15" s="17" t="n">
        <x:f>I14</x:f>
        <x:v>3249802.1052631577</x:v>
      </x:c>
      <x:c r="C15" s="17" t="n">
        <x:f>IF(A15&gt;Assumptions!$B$21,Projection!$B$11,0)</x:f>
        <x:v>3001600</x:v>
      </x:c>
      <x:c r="D15" s="17" t="n">
        <x:f>IF(A15&gt;Assumptions!$B$22,Projection!$B$12,0)</x:f>
        <x:v>2160000</x:v>
      </x:c>
      <x:c r="E15" s="17" t="n">
        <x:f>SUM(Projection!$B$13:$B$15)+Projection!$B$18+Projection!$B$21+Projection!$B$23+Projection!$B$25</x:f>
        <x:v>480510.8771929825</x:v>
      </x:c>
      <x:c r="F15" s="18" t="n">
        <x:f>C15-D15-E15</x:f>
        <x:v>361089.1228070175</x:v>
      </x:c>
      <x:c r="G15" s="18" t="n">
        <x:f>IF(A15=1,Assumptions!$B$23,0)</x:f>
        <x:v>0</x:v>
      </x:c>
      <x:c r="H15" s="18" t="n">
        <x:f>F15-G15</x:f>
        <x:v>361089.1228070175</x:v>
      </x:c>
      <x:c r="I15" s="18" t="n">
        <x:f>B15+H15</x:f>
        <x:v>3610891.2280701753</x:v>
      </x:c>
      <x:c r="J15" s="7" t="n">
        <x:f>B15-D15-E15-G15</x:f>
        <x:v>609291.2280701753</x:v>
      </x:c>
    </x:row>
    <x:row r="16">
      <x:c r="A16" s="1" t="n">
        <x:v>11</x:v>
      </x:c>
      <x:c r="B16" s="17" t="n">
        <x:f>I15</x:f>
        <x:v>3610891.2280701753</x:v>
      </x:c>
      <x:c r="C16" s="17" t="n">
        <x:f>IF(A16&gt;Assumptions!$B$21,Projection!$B$11,0)</x:f>
        <x:v>3001600</x:v>
      </x:c>
      <x:c r="D16" s="17" t="n">
        <x:f>IF(A16&gt;Assumptions!$B$22,Projection!$B$12,0)</x:f>
        <x:v>2160000</x:v>
      </x:c>
      <x:c r="E16" s="17" t="n">
        <x:f>SUM(Projection!$B$13:$B$15)+Projection!$B$18+Projection!$B$21+Projection!$B$23+Projection!$B$25</x:f>
        <x:v>480510.8771929825</x:v>
      </x:c>
      <x:c r="F16" s="18" t="n">
        <x:f>C16-D16-E16</x:f>
        <x:v>361089.1228070175</x:v>
      </x:c>
      <x:c r="G16" s="18" t="n">
        <x:f>IF(A16=1,Assumptions!$B$23,0)</x:f>
        <x:v>0</x:v>
      </x:c>
      <x:c r="H16" s="18" t="n">
        <x:f>F16-G16</x:f>
        <x:v>361089.1228070175</x:v>
      </x:c>
      <x:c r="I16" s="18" t="n">
        <x:f>B16+H16</x:f>
        <x:v>3971980.350877193</x:v>
      </x:c>
      <x:c r="J16" s="7" t="n">
        <x:f>B16-D16-E16-G16</x:f>
        <x:v>970380.3508771928</x:v>
      </x:c>
    </x:row>
    <x:row r="17">
      <x:c r="A17" s="1" t="n">
        <x:v>12</x:v>
      </x:c>
      <x:c r="B17" s="17" t="n">
        <x:f>I16</x:f>
        <x:v>3971980.350877193</x:v>
      </x:c>
      <x:c r="C17" s="17" t="n">
        <x:f>IF(A17&gt;Assumptions!$B$21,Projection!$B$11,0)</x:f>
        <x:v>3001600</x:v>
      </x:c>
      <x:c r="D17" s="17" t="n">
        <x:f>IF(A17&gt;Assumptions!$B$22,Projection!$B$12,0)</x:f>
        <x:v>2160000</x:v>
      </x:c>
      <x:c r="E17" s="17" t="n">
        <x:f>SUM(Projection!$B$13:$B$15)+Projection!$B$18+Projection!$B$21+Projection!$B$23+Projection!$B$25</x:f>
        <x:v>480510.8771929825</x:v>
      </x:c>
      <x:c r="F17" s="18" t="n">
        <x:f>C17-D17-E17</x:f>
        <x:v>361089.1228070175</x:v>
      </x:c>
      <x:c r="G17" s="18" t="n">
        <x:f>IF(A17=1,Assumptions!$B$23,0)</x:f>
        <x:v>0</x:v>
      </x:c>
      <x:c r="H17" s="18" t="n">
        <x:f>F17-G17</x:f>
        <x:v>361089.1228070175</x:v>
      </x:c>
      <x:c r="I17" s="18" t="n">
        <x:f>B17+H17</x:f>
        <x:v>4333069.47368421</x:v>
      </x:c>
      <x:c r="J17" s="7" t="n">
        <x:f>B17-D17-E17-G17</x:f>
        <x:v>1331469.4736842103</x:v>
      </x:c>
    </x:row>
    <x:row r="18">
      <x:c r="A18" s="1" t="n">
        <x:v>13</x:v>
      </x:c>
      <x:c r="B18" s="17" t="n">
        <x:f>I17</x:f>
        <x:v>4333069.47368421</x:v>
      </x:c>
      <x:c r="C18" s="17" t="n">
        <x:f>IF(A18&gt;Assumptions!$B$21,Projection!$B$11,0)</x:f>
        <x:v>3001600</x:v>
      </x:c>
      <x:c r="D18" s="17" t="n">
        <x:f>IF(A18&gt;Assumptions!$B$22,Projection!$B$12,0)</x:f>
        <x:v>2160000</x:v>
      </x:c>
      <x:c r="E18" s="17" t="n">
        <x:f>SUM(Projection!$B$13:$B$15)+Projection!$B$18+Projection!$B$21+Projection!$B$23+Projection!$B$25</x:f>
        <x:v>480510.8771929825</x:v>
      </x:c>
      <x:c r="F18" s="18" t="n">
        <x:f>C18-D18-E18</x:f>
        <x:v>361089.1228070175</x:v>
      </x:c>
      <x:c r="G18" s="18" t="n">
        <x:f>IF(A18=1,Assumptions!$B$23,0)</x:f>
        <x:v>0</x:v>
      </x:c>
      <x:c r="H18" s="18" t="n">
        <x:f>F18-G18</x:f>
        <x:v>361089.1228070175</x:v>
      </x:c>
      <x:c r="I18" s="18" t="n">
        <x:f>B18+H18</x:f>
        <x:v>4694158.596491228</x:v>
      </x:c>
      <x:c r="J18" s="7" t="n">
        <x:f>B18-D18-E18-G18</x:f>
        <x:v>1692558.5964912279</x:v>
      </x:c>
    </x:row>
    <x:row r="19">
      <x:c r="A19" s="1" t="n">
        <x:v>14</x:v>
      </x:c>
      <x:c r="B19" s="17" t="n">
        <x:f>I18</x:f>
        <x:v>4694158.596491228</x:v>
      </x:c>
      <x:c r="C19" s="17" t="n">
        <x:f>IF(A19&gt;Assumptions!$B$21,Projection!$B$11,0)</x:f>
        <x:v>3001600</x:v>
      </x:c>
      <x:c r="D19" s="17" t="n">
        <x:f>IF(A19&gt;Assumptions!$B$22,Projection!$B$12,0)</x:f>
        <x:v>2160000</x:v>
      </x:c>
      <x:c r="E19" s="17" t="n">
        <x:f>SUM(Projection!$B$13:$B$15)+Projection!$B$18+Projection!$B$21+Projection!$B$23+Projection!$B$25</x:f>
        <x:v>480510.8771929825</x:v>
      </x:c>
      <x:c r="F19" s="18" t="n">
        <x:f>C19-D19-E19</x:f>
        <x:v>361089.1228070175</x:v>
      </x:c>
      <x:c r="G19" s="18" t="n">
        <x:f>IF(A19=1,Assumptions!$B$23,0)</x:f>
        <x:v>0</x:v>
      </x:c>
      <x:c r="H19" s="18" t="n">
        <x:f>F19-G19</x:f>
        <x:v>361089.1228070175</x:v>
      </x:c>
      <x:c r="I19" s="18" t="n">
        <x:f>B19+H19</x:f>
        <x:v>5055247.719298245</x:v>
      </x:c>
      <x:c r="J19" s="7" t="n">
        <x:f>B19-D19-E19-G19</x:f>
        <x:v>2053647.7192982454</x:v>
      </x:c>
    </x:row>
    <x:row r="20">
      <x:c r="A20" s="1" t="n">
        <x:v>15</x:v>
      </x:c>
      <x:c r="B20" s="17" t="n">
        <x:f>I19</x:f>
        <x:v>5055247.719298245</x:v>
      </x:c>
      <x:c r="C20" s="17" t="n">
        <x:f>IF(A20&gt;Assumptions!$B$21,Projection!$B$11,0)</x:f>
        <x:v>3001600</x:v>
      </x:c>
      <x:c r="D20" s="17" t="n">
        <x:f>IF(A20&gt;Assumptions!$B$22,Projection!$B$12,0)</x:f>
        <x:v>2160000</x:v>
      </x:c>
      <x:c r="E20" s="17" t="n">
        <x:f>SUM(Projection!$B$13:$B$15)+Projection!$B$18+Projection!$B$21+Projection!$B$23+Projection!$B$25</x:f>
        <x:v>480510.8771929825</x:v>
      </x:c>
      <x:c r="F20" s="18" t="n">
        <x:f>C20-D20-E20</x:f>
        <x:v>361089.1228070175</x:v>
      </x:c>
      <x:c r="G20" s="18" t="n">
        <x:f>IF(A20=1,Assumptions!$B$23,0)</x:f>
        <x:v>0</x:v>
      </x:c>
      <x:c r="H20" s="18" t="n">
        <x:f>F20-G20</x:f>
        <x:v>361089.1228070175</x:v>
      </x:c>
      <x:c r="I20" s="18" t="n">
        <x:f>B20+H20</x:f>
        <x:v>5416336.842105263</x:v>
      </x:c>
      <x:c r="J20" s="7" t="n">
        <x:f>B20-D20-E20-G20</x:f>
        <x:v>2414736.842105263</x:v>
      </x:c>
    </x:row>
    <x:row r="21">
      <x:c r="A21" s="1" t="n">
        <x:v>16</x:v>
      </x:c>
      <x:c r="B21" s="17" t="n">
        <x:f>I20</x:f>
        <x:v>5416336.842105263</x:v>
      </x:c>
      <x:c r="C21" s="17" t="n">
        <x:f>IF(A21&gt;Assumptions!$B$21,Projection!$B$11,0)</x:f>
        <x:v>3001600</x:v>
      </x:c>
      <x:c r="D21" s="17" t="n">
        <x:f>IF(A21&gt;Assumptions!$B$22,Projection!$B$12,0)</x:f>
        <x:v>2160000</x:v>
      </x:c>
      <x:c r="E21" s="17" t="n">
        <x:f>SUM(Projection!$B$13:$B$15)+Projection!$B$18+Projection!$B$21+Projection!$B$23+Projection!$B$25</x:f>
        <x:v>480510.8771929825</x:v>
      </x:c>
      <x:c r="F21" s="18" t="n">
        <x:f>C21-D21-E21</x:f>
        <x:v>361089.1228070175</x:v>
      </x:c>
      <x:c r="G21" s="18" t="n">
        <x:f>IF(A21=1,Assumptions!$B$23,0)</x:f>
        <x:v>0</x:v>
      </x:c>
      <x:c r="H21" s="18" t="n">
        <x:f>F21-G21</x:f>
        <x:v>361089.1228070175</x:v>
      </x:c>
      <x:c r="I21" s="18" t="n">
        <x:f>B21+H21</x:f>
        <x:v>5777425.96491228</x:v>
      </x:c>
      <x:c r="J21" s="7" t="n">
        <x:f>B21-D21-E21-G21</x:f>
        <x:v>2775825.9649122804</x:v>
      </x:c>
    </x:row>
    <x:row r="22">
      <x:c r="A22" s="1" t="n">
        <x:v>17</x:v>
      </x:c>
      <x:c r="B22" s="17" t="n">
        <x:f>I21</x:f>
        <x:v>5777425.96491228</x:v>
      </x:c>
      <x:c r="C22" s="17" t="n">
        <x:f>IF(A22&gt;Assumptions!$B$21,Projection!$B$11,0)</x:f>
        <x:v>3001600</x:v>
      </x:c>
      <x:c r="D22" s="17" t="n">
        <x:f>IF(A22&gt;Assumptions!$B$22,Projection!$B$12,0)</x:f>
        <x:v>2160000</x:v>
      </x:c>
      <x:c r="E22" s="17" t="n">
        <x:f>SUM(Projection!$B$13:$B$15)+Projection!$B$18+Projection!$B$21+Projection!$B$23+Projection!$B$25</x:f>
        <x:v>480510.8771929825</x:v>
      </x:c>
      <x:c r="F22" s="18" t="n">
        <x:f>C22-D22-E22</x:f>
        <x:v>361089.1228070175</x:v>
      </x:c>
      <x:c r="G22" s="18" t="n">
        <x:f>IF(A22=1,Assumptions!$B$23,0)</x:f>
        <x:v>0</x:v>
      </x:c>
      <x:c r="H22" s="18" t="n">
        <x:f>F22-G22</x:f>
        <x:v>361089.1228070175</x:v>
      </x:c>
      <x:c r="I22" s="18" t="n">
        <x:f>B22+H22</x:f>
        <x:v>6138515.087719298</x:v>
      </x:c>
      <x:c r="J22" s="7" t="n">
        <x:f>B22-D22-E22-G22</x:f>
        <x:v>3136915.087719298</x:v>
      </x:c>
    </x:row>
    <x:row r="23">
      <x:c r="A23" s="1" t="n">
        <x:v>18</x:v>
      </x:c>
      <x:c r="B23" s="17" t="n">
        <x:f>I22</x:f>
        <x:v>6138515.087719298</x:v>
      </x:c>
      <x:c r="C23" s="17" t="n">
        <x:f>IF(A23&gt;Assumptions!$B$21,Projection!$B$11,0)</x:f>
        <x:v>3001600</x:v>
      </x:c>
      <x:c r="D23" s="17" t="n">
        <x:f>IF(A23&gt;Assumptions!$B$22,Projection!$B$12,0)</x:f>
        <x:v>2160000</x:v>
      </x:c>
      <x:c r="E23" s="17" t="n">
        <x:f>SUM(Projection!$B$13:$B$15)+Projection!$B$18+Projection!$B$21+Projection!$B$23+Projection!$B$25</x:f>
        <x:v>480510.8771929825</x:v>
      </x:c>
      <x:c r="F23" s="18" t="n">
        <x:f>C23-D23-E23</x:f>
        <x:v>361089.1228070175</x:v>
      </x:c>
      <x:c r="G23" s="18" t="n">
        <x:f>IF(A23=1,Assumptions!$B$23,0)</x:f>
        <x:v>0</x:v>
      </x:c>
      <x:c r="H23" s="18" t="n">
        <x:f>F23-G23</x:f>
        <x:v>361089.1228070175</x:v>
      </x:c>
      <x:c r="I23" s="18" t="n">
        <x:f>B23+H23</x:f>
        <x:v>6499604.2105263155</x:v>
      </x:c>
      <x:c r="J23" s="7" t="n">
        <x:f>B23-D23-E23-G23</x:f>
        <x:v>3498004.2105263155</x:v>
      </x:c>
    </x:row>
    <x:row r="24">
      <x:c r="A24" s="1" t="n">
        <x:v>19</x:v>
      </x:c>
      <x:c r="B24" s="17" t="n">
        <x:f>I23</x:f>
        <x:v>6499604.2105263155</x:v>
      </x:c>
      <x:c r="C24" s="17" t="n">
        <x:f>IF(A24&gt;Assumptions!$B$21,Projection!$B$11,0)</x:f>
        <x:v>3001600</x:v>
      </x:c>
      <x:c r="D24" s="17" t="n">
        <x:f>IF(A24&gt;Assumptions!$B$22,Projection!$B$12,0)</x:f>
        <x:v>2160000</x:v>
      </x:c>
      <x:c r="E24" s="17" t="n">
        <x:f>SUM(Projection!$B$13:$B$15)+Projection!$B$18+Projection!$B$21+Projection!$B$23+Projection!$B$25</x:f>
        <x:v>480510.8771929825</x:v>
      </x:c>
      <x:c r="F24" s="18" t="n">
        <x:f>C24-D24-E24</x:f>
        <x:v>361089.1228070175</x:v>
      </x:c>
      <x:c r="G24" s="18" t="n">
        <x:f>IF(A24=1,Assumptions!$B$23,0)</x:f>
        <x:v>0</x:v>
      </x:c>
      <x:c r="H24" s="18" t="n">
        <x:f>F24-G24</x:f>
        <x:v>361089.1228070175</x:v>
      </x:c>
      <x:c r="I24" s="18" t="n">
        <x:f>B24+H24</x:f>
        <x:v>6860693.333333333</x:v>
      </x:c>
      <x:c r="J24" s="7" t="n">
        <x:f>B24-D24-E24-G24</x:f>
        <x:v>3859093.333333333</x:v>
      </x:c>
    </x:row>
    <x:row r="25">
      <x:c r="A25" s="1" t="n">
        <x:v>20</x:v>
      </x:c>
      <x:c r="B25" s="17" t="n">
        <x:f>I24</x:f>
        <x:v>6860693.333333333</x:v>
      </x:c>
      <x:c r="C25" s="17" t="n">
        <x:f>IF(A25&gt;Assumptions!$B$21,Projection!$B$11,0)</x:f>
        <x:v>3001600</x:v>
      </x:c>
      <x:c r="D25" s="17" t="n">
        <x:f>IF(A25&gt;Assumptions!$B$22,Projection!$B$12,0)</x:f>
        <x:v>2160000</x:v>
      </x:c>
      <x:c r="E25" s="17" t="n">
        <x:f>SUM(Projection!$B$13:$B$15)+Projection!$B$18+Projection!$B$21+Projection!$B$23+Projection!$B$25</x:f>
        <x:v>480510.8771929825</x:v>
      </x:c>
      <x:c r="F25" s="18" t="n">
        <x:f>C25-D25-E25</x:f>
        <x:v>361089.1228070175</x:v>
      </x:c>
      <x:c r="G25" s="18" t="n">
        <x:f>IF(A25=1,Assumptions!$B$23,0)</x:f>
        <x:v>0</x:v>
      </x:c>
      <x:c r="H25" s="18" t="n">
        <x:f>F25-G25</x:f>
        <x:v>361089.1228070175</x:v>
      </x:c>
      <x:c r="I25" s="18" t="n">
        <x:f>B25+H25</x:f>
        <x:v>7221782.456140351</x:v>
      </x:c>
      <x:c r="J25" s="7" t="n">
        <x:f>B25-D25-E25-G25</x:f>
        <x:v>4220182.456140351</x:v>
      </x:c>
    </x:row>
    <x:row r="26">
      <x:c r="A26" s="1" t="n">
        <x:v>21</x:v>
      </x:c>
      <x:c r="B26" s="17" t="n">
        <x:f>I25</x:f>
        <x:v>7221782.456140351</x:v>
      </x:c>
      <x:c r="C26" s="17" t="n">
        <x:f>IF(A26&gt;Assumptions!$B$21,Projection!$B$11,0)</x:f>
        <x:v>3001600</x:v>
      </x:c>
      <x:c r="D26" s="17" t="n">
        <x:f>IF(A26&gt;Assumptions!$B$22,Projection!$B$12,0)</x:f>
        <x:v>2160000</x:v>
      </x:c>
      <x:c r="E26" s="17" t="n">
        <x:f>SUM(Projection!$B$13:$B$15)+Projection!$B$18+Projection!$B$21+Projection!$B$23+Projection!$B$25</x:f>
        <x:v>480510.8771929825</x:v>
      </x:c>
      <x:c r="F26" s="18" t="n">
        <x:f>C26-D26-E26</x:f>
        <x:v>361089.1228070175</x:v>
      </x:c>
      <x:c r="G26" s="18" t="n">
        <x:f>IF(A26=1,Assumptions!$B$23,0)</x:f>
        <x:v>0</x:v>
      </x:c>
      <x:c r="H26" s="18" t="n">
        <x:f>F26-G26</x:f>
        <x:v>361089.1228070175</x:v>
      </x:c>
      <x:c r="I26" s="18" t="n">
        <x:f>B26+H26</x:f>
        <x:v>7582871.578947368</x:v>
      </x:c>
      <x:c r="J26" s="7" t="n">
        <x:f>B26-D26-E26-G26</x:f>
        <x:v>4581271.578947368</x:v>
      </x:c>
    </x:row>
    <x:row r="27">
      <x:c r="A27" s="1" t="n">
        <x:v>22</x:v>
      </x:c>
      <x:c r="B27" s="17" t="n">
        <x:f>I26</x:f>
        <x:v>7582871.578947368</x:v>
      </x:c>
      <x:c r="C27" s="17" t="n">
        <x:f>IF(A27&gt;Assumptions!$B$21,Projection!$B$11,0)</x:f>
        <x:v>3001600</x:v>
      </x:c>
      <x:c r="D27" s="17" t="n">
        <x:f>IF(A27&gt;Assumptions!$B$22,Projection!$B$12,0)</x:f>
        <x:v>2160000</x:v>
      </x:c>
      <x:c r="E27" s="17" t="n">
        <x:f>SUM(Projection!$B$13:$B$15)+Projection!$B$18+Projection!$B$21+Projection!$B$23+Projection!$B$25</x:f>
        <x:v>480510.8771929825</x:v>
      </x:c>
      <x:c r="F27" s="18" t="n">
        <x:f>C27-D27-E27</x:f>
        <x:v>361089.1228070175</x:v>
      </x:c>
      <x:c r="G27" s="18" t="n">
        <x:f>IF(A27=1,Assumptions!$B$23,0)</x:f>
        <x:v>0</x:v>
      </x:c>
      <x:c r="H27" s="18" t="n">
        <x:f>F27-G27</x:f>
        <x:v>361089.1228070175</x:v>
      </x:c>
      <x:c r="I27" s="18" t="n">
        <x:f>B27+H27</x:f>
        <x:v>7943960.701754386</x:v>
      </x:c>
      <x:c r="J27" s="7" t="n">
        <x:f>B27-D27-E27-G27</x:f>
        <x:v>4942360.701754386</x:v>
      </x:c>
    </x:row>
    <x:row r="28">
      <x:c r="A28" s="1" t="n">
        <x:v>23</x:v>
      </x:c>
      <x:c r="B28" s="17" t="n">
        <x:f>I27</x:f>
        <x:v>7943960.701754386</x:v>
      </x:c>
      <x:c r="C28" s="17" t="n">
        <x:f>IF(A28&gt;Assumptions!$B$21,Projection!$B$11,0)</x:f>
        <x:v>3001600</x:v>
      </x:c>
      <x:c r="D28" s="17" t="n">
        <x:f>IF(A28&gt;Assumptions!$B$22,Projection!$B$12,0)</x:f>
        <x:v>2160000</x:v>
      </x:c>
      <x:c r="E28" s="17" t="n">
        <x:f>SUM(Projection!$B$13:$B$15)+Projection!$B$18+Projection!$B$21+Projection!$B$23+Projection!$B$25</x:f>
        <x:v>480510.8771929825</x:v>
      </x:c>
      <x:c r="F28" s="18" t="n">
        <x:f>C28-D28-E28</x:f>
        <x:v>361089.1228070175</x:v>
      </x:c>
      <x:c r="G28" s="18" t="n">
        <x:f>IF(A28=1,Assumptions!$B$23,0)</x:f>
        <x:v>0</x:v>
      </x:c>
      <x:c r="H28" s="18" t="n">
        <x:f>F28-G28</x:f>
        <x:v>361089.1228070175</x:v>
      </x:c>
      <x:c r="I28" s="18" t="n">
        <x:f>B28+H28</x:f>
        <x:v>8305049.824561403</x:v>
      </x:c>
      <x:c r="J28" s="7" t="n">
        <x:f>B28-D28-E28-G28</x:f>
        <x:v>5303449.824561403</x:v>
      </x:c>
    </x:row>
    <x:row r="29">
      <x:c r="A29" s="1" t="n">
        <x:v>24</x:v>
      </x:c>
      <x:c r="B29" s="17" t="n">
        <x:f>I28</x:f>
        <x:v>8305049.824561403</x:v>
      </x:c>
      <x:c r="C29" s="17" t="n">
        <x:f>IF(A29&gt;Assumptions!$B$21,Projection!$B$11,0)</x:f>
        <x:v>3001600</x:v>
      </x:c>
      <x:c r="D29" s="17" t="n">
        <x:f>IF(A29&gt;Assumptions!$B$22,Projection!$B$12,0)</x:f>
        <x:v>2160000</x:v>
      </x:c>
      <x:c r="E29" s="17" t="n">
        <x:f>SUM(Projection!$B$13:$B$15)+Projection!$B$18+Projection!$B$21+Projection!$B$23+Projection!$B$25</x:f>
        <x:v>480510.8771929825</x:v>
      </x:c>
      <x:c r="F29" s="18" t="n">
        <x:f>C29-D29-E29</x:f>
        <x:v>361089.1228070175</x:v>
      </x:c>
      <x:c r="G29" s="18" t="n">
        <x:f>IF(A29=1,Assumptions!$B$23,0)</x:f>
        <x:v>0</x:v>
      </x:c>
      <x:c r="H29" s="18" t="n">
        <x:f>F29-G29</x:f>
        <x:v>361089.1228070175</x:v>
      </x:c>
      <x:c r="I29" s="18" t="n">
        <x:f>B29+H29</x:f>
        <x:v>8666138.94736842</x:v>
      </x:c>
      <x:c r="J29" s="7" t="n">
        <x:f>B29-D29-E29-G29</x:f>
        <x:v>5664538.947368421</x:v>
      </x:c>
    </x:row>
    <x:row r="30">
      <x:c r="A30" s="1" t="n">
        <x:v>25</x:v>
      </x:c>
      <x:c r="B30" s="17" t="n">
        <x:f>I29</x:f>
        <x:v>8666138.94736842</x:v>
      </x:c>
      <x:c r="C30" s="17" t="n">
        <x:f>IF(A30&gt;Assumptions!$B$21,Projection!$B$11,0)</x:f>
        <x:v>3001600</x:v>
      </x:c>
      <x:c r="D30" s="17" t="n">
        <x:f>IF(A30&gt;Assumptions!$B$22,Projection!$B$12,0)</x:f>
        <x:v>2160000</x:v>
      </x:c>
      <x:c r="E30" s="17" t="n">
        <x:f>SUM(Projection!$B$13:$B$15)+Projection!$B$18+Projection!$B$21+Projection!$B$23+Projection!$B$25</x:f>
        <x:v>480510.8771929825</x:v>
      </x:c>
      <x:c r="F30" s="18" t="n">
        <x:f>C30-D30-E30</x:f>
        <x:v>361089.1228070175</x:v>
      </x:c>
      <x:c r="G30" s="18" t="n">
        <x:f>IF(A30=1,Assumptions!$B$23,0)</x:f>
        <x:v>0</x:v>
      </x:c>
      <x:c r="H30" s="18" t="n">
        <x:f>F30-G30</x:f>
        <x:v>361089.1228070175</x:v>
      </x:c>
      <x:c r="I30" s="18" t="n">
        <x:f>B30+H30</x:f>
        <x:v>9027228.07017544</x:v>
      </x:c>
      <x:c r="J30" s="7" t="n">
        <x:f>B30-D30-E30-G30</x:f>
        <x:v>6025628.070175438</x:v>
      </x:c>
    </x:row>
    <x:row r="31">
      <x:c r="A31" s="1" t="n">
        <x:v>26</x:v>
      </x:c>
      <x:c r="B31" s="17" t="n">
        <x:f>I30</x:f>
        <x:v>9027228.07017544</x:v>
      </x:c>
      <x:c r="C31" s="17" t="n">
        <x:f>IF(A31&gt;Assumptions!$B$21,Projection!$B$11,0)</x:f>
        <x:v>3001600</x:v>
      </x:c>
      <x:c r="D31" s="17" t="n">
        <x:f>IF(A31&gt;Assumptions!$B$22,Projection!$B$12,0)</x:f>
        <x:v>2160000</x:v>
      </x:c>
      <x:c r="E31" s="17" t="n">
        <x:f>SUM(Projection!$B$13:$B$15)+Projection!$B$18+Projection!$B$21+Projection!$B$23+Projection!$B$25</x:f>
        <x:v>480510.8771929825</x:v>
      </x:c>
      <x:c r="F31" s="18" t="n">
        <x:f>C31-D31-E31</x:f>
        <x:v>361089.1228070175</x:v>
      </x:c>
      <x:c r="G31" s="18" t="n">
        <x:f>IF(A31=1,Assumptions!$B$23,0)</x:f>
        <x:v>0</x:v>
      </x:c>
      <x:c r="H31" s="18" t="n">
        <x:f>F31-G31</x:f>
        <x:v>361089.1228070175</x:v>
      </x:c>
      <x:c r="I31" s="18" t="n">
        <x:f>B31+H31</x:f>
        <x:v>9388317.192982458</x:v>
      </x:c>
      <x:c r="J31" s="7" t="n">
        <x:f>B31-D31-E31-G31</x:f>
        <x:v>6386717.192982457</x:v>
      </x:c>
    </x:row>
    <x:row r="32">
      <x:c r="A32" s="1" t="n">
        <x:v>27</x:v>
      </x:c>
      <x:c r="B32" s="17" t="n">
        <x:f>I31</x:f>
        <x:v>9388317.192982458</x:v>
      </x:c>
      <x:c r="C32" s="17" t="n">
        <x:f>IF(A32&gt;Assumptions!$B$21,Projection!$B$11,0)</x:f>
        <x:v>3001600</x:v>
      </x:c>
      <x:c r="D32" s="17" t="n">
        <x:f>IF(A32&gt;Assumptions!$B$22,Projection!$B$12,0)</x:f>
        <x:v>2160000</x:v>
      </x:c>
      <x:c r="E32" s="17" t="n">
        <x:f>SUM(Projection!$B$13:$B$15)+Projection!$B$18+Projection!$B$21+Projection!$B$23+Projection!$B$25</x:f>
        <x:v>480510.8771929825</x:v>
      </x:c>
      <x:c r="F32" s="18" t="n">
        <x:f>C32-D32-E32</x:f>
        <x:v>361089.1228070175</x:v>
      </x:c>
      <x:c r="G32" s="18" t="n">
        <x:f>IF(A32=1,Assumptions!$B$23,0)</x:f>
        <x:v>0</x:v>
      </x:c>
      <x:c r="H32" s="18" t="n">
        <x:f>F32-G32</x:f>
        <x:v>361089.1228070175</x:v>
      </x:c>
      <x:c r="I32" s="18" t="n">
        <x:f>B32+H32</x:f>
        <x:v>9749406.315789476</x:v>
      </x:c>
      <x:c r="J32" s="7" t="n">
        <x:f>B32-D32-E32-G32</x:f>
        <x:v>6747806.315789475</x:v>
      </x:c>
    </x:row>
    <x:row r="33">
      <x:c r="A33" s="1" t="n">
        <x:v>28</x:v>
      </x:c>
      <x:c r="B33" s="17" t="n">
        <x:f>I32</x:f>
        <x:v>9749406.315789476</x:v>
      </x:c>
      <x:c r="C33" s="17" t="n">
        <x:f>IF(A33&gt;Assumptions!$B$21,Projection!$B$11,0)</x:f>
        <x:v>3001600</x:v>
      </x:c>
      <x:c r="D33" s="17" t="n">
        <x:f>IF(A33&gt;Assumptions!$B$22,Projection!$B$12,0)</x:f>
        <x:v>2160000</x:v>
      </x:c>
      <x:c r="E33" s="17" t="n">
        <x:f>SUM(Projection!$B$13:$B$15)+Projection!$B$18+Projection!$B$21+Projection!$B$23+Projection!$B$25</x:f>
        <x:v>480510.8771929825</x:v>
      </x:c>
      <x:c r="F33" s="18" t="n">
        <x:f>C33-D33-E33</x:f>
        <x:v>361089.1228070175</x:v>
      </x:c>
      <x:c r="G33" s="18" t="n">
        <x:f>IF(A33=1,Assumptions!$B$23,0)</x:f>
        <x:v>0</x:v>
      </x:c>
      <x:c r="H33" s="18" t="n">
        <x:f>F33-G33</x:f>
        <x:v>361089.1228070175</x:v>
      </x:c>
      <x:c r="I33" s="18" t="n">
        <x:f>B33+H33</x:f>
        <x:v>10110495.438596494</x:v>
      </x:c>
      <x:c r="J33" s="7" t="n">
        <x:f>B33-D33-E33-G33</x:f>
        <x:v>7108895.438596494</x:v>
      </x:c>
    </x:row>
    <x:row r="34">
      <x:c r="A34" s="1" t="n">
        <x:v>29</x:v>
      </x:c>
      <x:c r="B34" s="17" t="n">
        <x:f>I33</x:f>
        <x:v>10110495.438596494</x:v>
      </x:c>
      <x:c r="C34" s="17" t="n">
        <x:f>IF(A34&gt;Assumptions!$B$21,Projection!$B$11,0)</x:f>
        <x:v>3001600</x:v>
      </x:c>
      <x:c r="D34" s="17" t="n">
        <x:f>IF(A34&gt;Assumptions!$B$22,Projection!$B$12,0)</x:f>
        <x:v>2160000</x:v>
      </x:c>
      <x:c r="E34" s="17" t="n">
        <x:f>SUM(Projection!$B$13:$B$15)+Projection!$B$18+Projection!$B$21+Projection!$B$23+Projection!$B$25</x:f>
        <x:v>480510.8771929825</x:v>
      </x:c>
      <x:c r="F34" s="18" t="n">
        <x:f>C34-D34-E34</x:f>
        <x:v>361089.1228070175</x:v>
      </x:c>
      <x:c r="G34" s="18" t="n">
        <x:f>IF(A34=1,Assumptions!$B$23,0)</x:f>
        <x:v>0</x:v>
      </x:c>
      <x:c r="H34" s="18" t="n">
        <x:f>F34-G34</x:f>
        <x:v>361089.1228070175</x:v>
      </x:c>
      <x:c r="I34" s="18" t="n">
        <x:f>B34+H34</x:f>
        <x:v>10471584.561403513</x:v>
      </x:c>
      <x:c r="J34" s="7" t="n">
        <x:f>B34-D34-E34-G34</x:f>
        <x:v>7469984.561403512</x:v>
      </x:c>
    </x:row>
    <x:row r="35">
      <x:c r="A35" s="1" t="n">
        <x:v>30</x:v>
      </x:c>
      <x:c r="B35" s="17" t="n">
        <x:f>I34</x:f>
        <x:v>10471584.561403513</x:v>
      </x:c>
      <x:c r="C35" s="17" t="n">
        <x:f>IF(A35&gt;Assumptions!$B$21,Projection!$B$11,0)</x:f>
        <x:v>3001600</x:v>
      </x:c>
      <x:c r="D35" s="17" t="n">
        <x:f>IF(A35&gt;Assumptions!$B$22,Projection!$B$12,0)</x:f>
        <x:v>2160000</x:v>
      </x:c>
      <x:c r="E35" s="17" t="n">
        <x:f>SUM(Projection!$B$13:$B$15)+Projection!$B$18+Projection!$B$21+Projection!$B$23+Projection!$B$25</x:f>
        <x:v>480510.8771929825</x:v>
      </x:c>
      <x:c r="F35" s="18" t="n">
        <x:f>C35-D35-E35</x:f>
        <x:v>361089.1228070175</x:v>
      </x:c>
      <x:c r="G35" s="18" t="n">
        <x:f>IF(A35=1,Assumptions!$B$23,0)</x:f>
        <x:v>0</x:v>
      </x:c>
      <x:c r="H35" s="18" t="n">
        <x:f>F35-G35</x:f>
        <x:v>361089.1228070175</x:v>
      </x:c>
      <x:c r="I35" s="18" t="n">
        <x:f>B35+H35</x:f>
        <x:v>10832673.684210531</x:v>
      </x:c>
      <x:c r="J35" s="7" t="n">
        <x:f>B35-D35-E35-G35</x:f>
        <x:v>7831073.6842105305</x:v>
      </x:c>
    </x:row>
    <x:row r="36">
      <x:c r="A36" s="1" t="n">
        <x:v>31</x:v>
      </x:c>
      <x:c r="B36" s="17" t="n">
        <x:f>I35</x:f>
        <x:v>10832673.684210531</x:v>
      </x:c>
      <x:c r="C36" s="17" t="n">
        <x:f>IF(A36&gt;Assumptions!$B$21,Projection!$B$11,0)</x:f>
        <x:v>3001600</x:v>
      </x:c>
      <x:c r="D36" s="17" t="n">
        <x:f>IF(A36&gt;Assumptions!$B$22,Projection!$B$12,0)</x:f>
        <x:v>2160000</x:v>
      </x:c>
      <x:c r="E36" s="17" t="n">
        <x:f>SUM(Projection!$B$13:$B$15)+Projection!$B$18+Projection!$B$21+Projection!$B$23+Projection!$B$25</x:f>
        <x:v>480510.8771929825</x:v>
      </x:c>
      <x:c r="F36" s="18" t="n">
        <x:f>C36-D36-E36</x:f>
        <x:v>361089.1228070175</x:v>
      </x:c>
      <x:c r="G36" s="18" t="n">
        <x:f>IF(A36=1,Assumptions!$B$23,0)</x:f>
        <x:v>0</x:v>
      </x:c>
      <x:c r="H36" s="18" t="n">
        <x:f>F36-G36</x:f>
        <x:v>361089.1228070175</x:v>
      </x:c>
      <x:c r="I36" s="18" t="n">
        <x:f>B36+H36</x:f>
        <x:v>11193762.80701755</x:v>
      </x:c>
      <x:c r="J36" s="7" t="n">
        <x:f>B36-D36-E36-G36</x:f>
        <x:v>8192162.807017549</x:v>
      </x:c>
    </x:row>
    <x:row r="37">
      <x:c r="A37" s="1" t="n">
        <x:v>32</x:v>
      </x:c>
      <x:c r="B37" s="17" t="n">
        <x:f>I36</x:f>
        <x:v>11193762.80701755</x:v>
      </x:c>
      <x:c r="C37" s="17" t="n">
        <x:f>IF(A37&gt;Assumptions!$B$21,Projection!$B$11,0)</x:f>
        <x:v>3001600</x:v>
      </x:c>
      <x:c r="D37" s="17" t="n">
        <x:f>IF(A37&gt;Assumptions!$B$22,Projection!$B$12,0)</x:f>
        <x:v>2160000</x:v>
      </x:c>
      <x:c r="E37" s="17" t="n">
        <x:f>SUM(Projection!$B$13:$B$15)+Projection!$B$18+Projection!$B$21+Projection!$B$23+Projection!$B$25</x:f>
        <x:v>480510.8771929825</x:v>
      </x:c>
      <x:c r="F37" s="18" t="n">
        <x:f>C37-D37-E37</x:f>
        <x:v>361089.1228070175</x:v>
      </x:c>
      <x:c r="G37" s="18" t="n">
        <x:f>IF(A37=1,Assumptions!$B$23,0)</x:f>
        <x:v>0</x:v>
      </x:c>
      <x:c r="H37" s="18" t="n">
        <x:f>F37-G37</x:f>
        <x:v>361089.1228070175</x:v>
      </x:c>
      <x:c r="I37" s="18" t="n">
        <x:f>B37+H37</x:f>
        <x:v>11554851.929824568</x:v>
      </x:c>
      <x:c r="J37" s="7" t="n">
        <x:f>B37-D37-E37-G37</x:f>
        <x:v>8553251.929824568</x:v>
      </x:c>
    </x:row>
    <x:row r="38">
      <x:c r="A38" s="1" t="n">
        <x:v>33</x:v>
      </x:c>
      <x:c r="B38" s="17" t="n">
        <x:f>I37</x:f>
        <x:v>11554851.929824568</x:v>
      </x:c>
      <x:c r="C38" s="17" t="n">
        <x:f>IF(A38&gt;Assumptions!$B$21,Projection!$B$11,0)</x:f>
        <x:v>3001600</x:v>
      </x:c>
      <x:c r="D38" s="17" t="n">
        <x:f>IF(A38&gt;Assumptions!$B$22,Projection!$B$12,0)</x:f>
        <x:v>2160000</x:v>
      </x:c>
      <x:c r="E38" s="17" t="n">
        <x:f>SUM(Projection!$B$13:$B$15)+Projection!$B$18+Projection!$B$21+Projection!$B$23+Projection!$B$25</x:f>
        <x:v>480510.8771929825</x:v>
      </x:c>
      <x:c r="F38" s="18" t="n">
        <x:f>C38-D38-E38</x:f>
        <x:v>361089.1228070175</x:v>
      </x:c>
      <x:c r="G38" s="18" t="n">
        <x:f>IF(A38=1,Assumptions!$B$23,0)</x:f>
        <x:v>0</x:v>
      </x:c>
      <x:c r="H38" s="18" t="n">
        <x:f>F38-G38</x:f>
        <x:v>361089.1228070175</x:v>
      </x:c>
      <x:c r="I38" s="18" t="n">
        <x:f>B38+H38</x:f>
        <x:v>11915941.052631587</x:v>
      </x:c>
      <x:c r="J38" s="7" t="n">
        <x:f>B38-D38-E38-G38</x:f>
        <x:v>8914341.052631587</x:v>
      </x:c>
    </x:row>
    <x:row r="39">
      <x:c r="A39" s="1" t="n">
        <x:v>34</x:v>
      </x:c>
      <x:c r="B39" s="17" t="n">
        <x:f>I38</x:f>
        <x:v>11915941.052631587</x:v>
      </x:c>
      <x:c r="C39" s="17" t="n">
        <x:f>IF(A39&gt;Assumptions!$B$21,Projection!$B$11,0)</x:f>
        <x:v>3001600</x:v>
      </x:c>
      <x:c r="D39" s="17" t="n">
        <x:f>IF(A39&gt;Assumptions!$B$22,Projection!$B$12,0)</x:f>
        <x:v>2160000</x:v>
      </x:c>
      <x:c r="E39" s="17" t="n">
        <x:f>SUM(Projection!$B$13:$B$15)+Projection!$B$18+Projection!$B$21+Projection!$B$23+Projection!$B$25</x:f>
        <x:v>480510.8771929825</x:v>
      </x:c>
      <x:c r="F39" s="18" t="n">
        <x:f>C39-D39-E39</x:f>
        <x:v>361089.1228070175</x:v>
      </x:c>
      <x:c r="G39" s="18" t="n">
        <x:f>IF(A39=1,Assumptions!$B$23,0)</x:f>
        <x:v>0</x:v>
      </x:c>
      <x:c r="H39" s="18" t="n">
        <x:f>F39-G39</x:f>
        <x:v>361089.1228070175</x:v>
      </x:c>
      <x:c r="I39" s="18" t="n">
        <x:f>B39+H39</x:f>
        <x:v>12277030.175438605</x:v>
      </x:c>
      <x:c r="J39" s="7" t="n">
        <x:f>B39-D39-E39-G39</x:f>
        <x:v>9275430.175438605</x:v>
      </x:c>
    </x:row>
    <x:row r="40">
      <x:c r="A40" s="1" t="n">
        <x:v>35</x:v>
      </x:c>
      <x:c r="B40" s="17" t="n">
        <x:f>I39</x:f>
        <x:v>12277030.175438605</x:v>
      </x:c>
      <x:c r="C40" s="17" t="n">
        <x:f>IF(A40&gt;Assumptions!$B$21,Projection!$B$11,0)</x:f>
        <x:v>3001600</x:v>
      </x:c>
      <x:c r="D40" s="17" t="n">
        <x:f>IF(A40&gt;Assumptions!$B$22,Projection!$B$12,0)</x:f>
        <x:v>2160000</x:v>
      </x:c>
      <x:c r="E40" s="17" t="n">
        <x:f>SUM(Projection!$B$13:$B$15)+Projection!$B$18+Projection!$B$21+Projection!$B$23+Projection!$B$25</x:f>
        <x:v>480510.8771929825</x:v>
      </x:c>
      <x:c r="F40" s="18" t="n">
        <x:f>C40-D40-E40</x:f>
        <x:v>361089.1228070175</x:v>
      </x:c>
      <x:c r="G40" s="18" t="n">
        <x:f>IF(A40=1,Assumptions!$B$23,0)</x:f>
        <x:v>0</x:v>
      </x:c>
      <x:c r="H40" s="18" t="n">
        <x:f>F40-G40</x:f>
        <x:v>361089.1228070175</x:v>
      </x:c>
      <x:c r="I40" s="18" t="n">
        <x:f>B40+H40</x:f>
        <x:v>12638119.298245624</x:v>
      </x:c>
      <x:c r="J40" s="7" t="n">
        <x:f>B40-D40-E40-G40</x:f>
        <x:v>9636519.298245624</x:v>
      </x:c>
    </x:row>
    <x:row r="41">
      <x:c r="A41" s="1" t="n">
        <x:v>36</x:v>
      </x:c>
      <x:c r="B41" s="17" t="n">
        <x:f>I40</x:f>
        <x:v>12638119.298245624</x:v>
      </x:c>
      <x:c r="C41" s="17" t="n">
        <x:f>IF(A41&gt;Assumptions!$B$21,Projection!$B$11,0)</x:f>
        <x:v>3001600</x:v>
      </x:c>
      <x:c r="D41" s="17" t="n">
        <x:f>IF(A41&gt;Assumptions!$B$22,Projection!$B$12,0)</x:f>
        <x:v>2160000</x:v>
      </x:c>
      <x:c r="E41" s="17" t="n">
        <x:f>SUM(Projection!$B$13:$B$15)+Projection!$B$18+Projection!$B$21+Projection!$B$23+Projection!$B$25</x:f>
        <x:v>480510.8771929825</x:v>
      </x:c>
      <x:c r="F41" s="18" t="n">
        <x:f>C41-D41-E41</x:f>
        <x:v>361089.1228070175</x:v>
      </x:c>
      <x:c r="G41" s="18" t="n">
        <x:f>IF(A41=1,Assumptions!$B$23,0)</x:f>
        <x:v>0</x:v>
      </x:c>
      <x:c r="H41" s="18" t="n">
        <x:f>F41-G41</x:f>
        <x:v>361089.1228070175</x:v>
      </x:c>
      <x:c r="I41" s="18" t="n">
        <x:f>B41+H41</x:f>
        <x:v>12999208.421052642</x:v>
      </x:c>
      <x:c r="J41" s="7" t="n">
        <x:f>B41-D41-E41-G41</x:f>
        <x:v>9997608.421052642</x:v>
      </x:c>
    </x:row>
    <x:row r="42">
      <x:c r="A42" s="1" t="n">
        <x:v>37</x:v>
      </x:c>
      <x:c r="B42" s="17" t="n">
        <x:f>I41</x:f>
        <x:v>12999208.421052642</x:v>
      </x:c>
      <x:c r="C42" s="17" t="n">
        <x:f>IF(A42&gt;Assumptions!$B$21,Projection!$B$11,0)</x:f>
        <x:v>3001600</x:v>
      </x:c>
      <x:c r="D42" s="17" t="n">
        <x:f>IF(A42&gt;Assumptions!$B$22,Projection!$B$12,0)</x:f>
        <x:v>2160000</x:v>
      </x:c>
      <x:c r="E42" s="17" t="n">
        <x:f>SUM(Projection!$B$13:$B$15)+Projection!$B$18+Projection!$B$21+Projection!$B$23+Projection!$B$25</x:f>
        <x:v>480510.8771929825</x:v>
      </x:c>
      <x:c r="F42" s="18" t="n">
        <x:f>C42-D42-E42</x:f>
        <x:v>361089.1228070175</x:v>
      </x:c>
      <x:c r="G42" s="18" t="n">
        <x:f>IF(A42=1,Assumptions!$B$23,0)</x:f>
        <x:v>0</x:v>
      </x:c>
      <x:c r="H42" s="18" t="n">
        <x:f>F42-G42</x:f>
        <x:v>361089.1228070175</x:v>
      </x:c>
      <x:c r="I42" s="18" t="n">
        <x:f>B42+H42</x:f>
        <x:v>13360297.54385966</x:v>
      </x:c>
      <x:c r="J42" s="7" t="n">
        <x:f>B42-D42-E42-G42</x:f>
        <x:v>10358697.54385966</x:v>
      </x:c>
    </x:row>
    <x:row r="43">
      <x:c r="A43" s="1" t="n">
        <x:v>38</x:v>
      </x:c>
      <x:c r="B43" s="17" t="n">
        <x:f>I42</x:f>
        <x:v>13360297.54385966</x:v>
      </x:c>
      <x:c r="C43" s="17" t="n">
        <x:f>IF(A43&gt;Assumptions!$B$21,Projection!$B$11,0)</x:f>
        <x:v>3001600</x:v>
      </x:c>
      <x:c r="D43" s="17" t="n">
        <x:f>IF(A43&gt;Assumptions!$B$22,Projection!$B$12,0)</x:f>
        <x:v>2160000</x:v>
      </x:c>
      <x:c r="E43" s="17" t="n">
        <x:f>SUM(Projection!$B$13:$B$15)+Projection!$B$18+Projection!$B$21+Projection!$B$23+Projection!$B$25</x:f>
        <x:v>480510.8771929825</x:v>
      </x:c>
      <x:c r="F43" s="18" t="n">
        <x:f>C43-D43-E43</x:f>
        <x:v>361089.1228070175</x:v>
      </x:c>
      <x:c r="G43" s="18" t="n">
        <x:f>IF(A43=1,Assumptions!$B$23,0)</x:f>
        <x:v>0</x:v>
      </x:c>
      <x:c r="H43" s="18" t="n">
        <x:f>F43-G43</x:f>
        <x:v>361089.1228070175</x:v>
      </x:c>
      <x:c r="I43" s="18" t="n">
        <x:f>B43+H43</x:f>
        <x:v>13721386.66666668</x:v>
      </x:c>
      <x:c r="J43" s="7" t="n">
        <x:f>B43-D43-E43-G43</x:f>
        <x:v>10719786.66666668</x:v>
      </x:c>
    </x:row>
    <x:row r="44">
      <x:c r="A44" s="1" t="n">
        <x:v>39</x:v>
      </x:c>
      <x:c r="B44" s="17" t="n">
        <x:f>I43</x:f>
        <x:v>13721386.66666668</x:v>
      </x:c>
      <x:c r="C44" s="17" t="n">
        <x:f>IF(A44&gt;Assumptions!$B$21,Projection!$B$11,0)</x:f>
        <x:v>3001600</x:v>
      </x:c>
      <x:c r="D44" s="17" t="n">
        <x:f>IF(A44&gt;Assumptions!$B$22,Projection!$B$12,0)</x:f>
        <x:v>2160000</x:v>
      </x:c>
      <x:c r="E44" s="17" t="n">
        <x:f>SUM(Projection!$B$13:$B$15)+Projection!$B$18+Projection!$B$21+Projection!$B$23+Projection!$B$25</x:f>
        <x:v>480510.8771929825</x:v>
      </x:c>
      <x:c r="F44" s="18" t="n">
        <x:f>C44-D44-E44</x:f>
        <x:v>361089.1228070175</x:v>
      </x:c>
      <x:c r="G44" s="18" t="n">
        <x:f>IF(A44=1,Assumptions!$B$23,0)</x:f>
        <x:v>0</x:v>
      </x:c>
      <x:c r="H44" s="18" t="n">
        <x:f>F44-G44</x:f>
        <x:v>361089.1228070175</x:v>
      </x:c>
      <x:c r="I44" s="18" t="n">
        <x:f>B44+H44</x:f>
        <x:v>14082475.789473698</x:v>
      </x:c>
      <x:c r="J44" s="7" t="n">
        <x:f>B44-D44-E44-G44</x:f>
        <x:v>11080875.789473698</x:v>
      </x:c>
    </x:row>
    <x:row r="45">
      <x:c r="A45" s="1" t="n">
        <x:v>40</x:v>
      </x:c>
      <x:c r="B45" s="17" t="n">
        <x:f>I44</x:f>
        <x:v>14082475.789473698</x:v>
      </x:c>
      <x:c r="C45" s="17" t="n">
        <x:f>IF(A45&gt;Assumptions!$B$21,Projection!$B$11,0)</x:f>
        <x:v>3001600</x:v>
      </x:c>
      <x:c r="D45" s="17" t="n">
        <x:f>IF(A45&gt;Assumptions!$B$22,Projection!$B$12,0)</x:f>
        <x:v>2160000</x:v>
      </x:c>
      <x:c r="E45" s="17" t="n">
        <x:f>SUM(Projection!$B$13:$B$15)+Projection!$B$18+Projection!$B$21+Projection!$B$23+Projection!$B$25</x:f>
        <x:v>480510.8771929825</x:v>
      </x:c>
      <x:c r="F45" s="18" t="n">
        <x:f>C45-D45-E45</x:f>
        <x:v>361089.1228070175</x:v>
      </x:c>
      <x:c r="G45" s="18" t="n">
        <x:f>IF(A45=1,Assumptions!$B$23,0)</x:f>
        <x:v>0</x:v>
      </x:c>
      <x:c r="H45" s="18" t="n">
        <x:f>F45-G45</x:f>
        <x:v>361089.1228070175</x:v>
      </x:c>
      <x:c r="I45" s="18" t="n">
        <x:f>B45+H45</x:f>
        <x:v>14443564.912280716</x:v>
      </x:c>
      <x:c r="J45" s="7" t="n">
        <x:f>B45-D45-E45-G45</x:f>
        <x:v>11441964.912280716</x:v>
      </x:c>
    </x:row>
    <x:row r="46">
      <x:c r="A46" s="1" t="n">
        <x:v>41</x:v>
      </x:c>
      <x:c r="B46" s="17" t="n">
        <x:f>I45</x:f>
        <x:v>14443564.912280716</x:v>
      </x:c>
      <x:c r="C46" s="17" t="n">
        <x:f>IF(A46&gt;Assumptions!$B$21,Projection!$B$11,0)</x:f>
        <x:v>3001600</x:v>
      </x:c>
      <x:c r="D46" s="17" t="n">
        <x:f>IF(A46&gt;Assumptions!$B$22,Projection!$B$12,0)</x:f>
        <x:v>2160000</x:v>
      </x:c>
      <x:c r="E46" s="17" t="n">
        <x:f>SUM(Projection!$B$13:$B$15)+Projection!$B$18+Projection!$B$21+Projection!$B$23+Projection!$B$25</x:f>
        <x:v>480510.8771929825</x:v>
      </x:c>
      <x:c r="F46" s="18" t="n">
        <x:f>C46-D46-E46</x:f>
        <x:v>361089.1228070175</x:v>
      </x:c>
      <x:c r="G46" s="18" t="n">
        <x:f>IF(A46=1,Assumptions!$B$23,0)</x:f>
        <x:v>0</x:v>
      </x:c>
      <x:c r="H46" s="18" t="n">
        <x:f>F46-G46</x:f>
        <x:v>361089.1228070175</x:v>
      </x:c>
      <x:c r="I46" s="18" t="n">
        <x:f>B46+H46</x:f>
        <x:v>14804654.035087734</x:v>
      </x:c>
      <x:c r="J46" s="7" t="n">
        <x:f>B46-D46-E46-G46</x:f>
        <x:v>11803054.035087734</x:v>
      </x:c>
    </x:row>
    <x:row r="47">
      <x:c r="A47" s="1" t="n">
        <x:v>42</x:v>
      </x:c>
      <x:c r="B47" s="17" t="n">
        <x:f>I46</x:f>
        <x:v>14804654.035087734</x:v>
      </x:c>
      <x:c r="C47" s="17" t="n">
        <x:f>IF(A47&gt;Assumptions!$B$21,Projection!$B$11,0)</x:f>
        <x:v>3001600</x:v>
      </x:c>
      <x:c r="D47" s="17" t="n">
        <x:f>IF(A47&gt;Assumptions!$B$22,Projection!$B$12,0)</x:f>
        <x:v>2160000</x:v>
      </x:c>
      <x:c r="E47" s="17" t="n">
        <x:f>SUM(Projection!$B$13:$B$15)+Projection!$B$18+Projection!$B$21+Projection!$B$23+Projection!$B$25</x:f>
        <x:v>480510.8771929825</x:v>
      </x:c>
      <x:c r="F47" s="18" t="n">
        <x:f>C47-D47-E47</x:f>
        <x:v>361089.1228070175</x:v>
      </x:c>
      <x:c r="G47" s="18" t="n">
        <x:f>IF(A47=1,Assumptions!$B$23,0)</x:f>
        <x:v>0</x:v>
      </x:c>
      <x:c r="H47" s="18" t="n">
        <x:f>F47-G47</x:f>
        <x:v>361089.1228070175</x:v>
      </x:c>
      <x:c r="I47" s="18" t="n">
        <x:f>B47+H47</x:f>
        <x:v>15165743.157894753</x:v>
      </x:c>
      <x:c r="J47" s="7" t="n">
        <x:f>B47-D47-E47-G47</x:f>
        <x:v>12164143.157894753</x:v>
      </x:c>
    </x:row>
    <x:row r="48">
      <x:c r="A48" s="1" t="n">
        <x:v>43</x:v>
      </x:c>
      <x:c r="B48" s="17" t="n">
        <x:f>I47</x:f>
        <x:v>15165743.157894753</x:v>
      </x:c>
      <x:c r="C48" s="17" t="n">
        <x:f>IF(A48&gt;Assumptions!$B$21,Projection!$B$11,0)</x:f>
        <x:v>3001600</x:v>
      </x:c>
      <x:c r="D48" s="17" t="n">
        <x:f>IF(A48&gt;Assumptions!$B$22,Projection!$B$12,0)</x:f>
        <x:v>2160000</x:v>
      </x:c>
      <x:c r="E48" s="17" t="n">
        <x:f>SUM(Projection!$B$13:$B$15)+Projection!$B$18+Projection!$B$21+Projection!$B$23+Projection!$B$25</x:f>
        <x:v>480510.8771929825</x:v>
      </x:c>
      <x:c r="F48" s="18" t="n">
        <x:f>C48-D48-E48</x:f>
        <x:v>361089.1228070175</x:v>
      </x:c>
      <x:c r="G48" s="18" t="n">
        <x:f>IF(A48=1,Assumptions!$B$23,0)</x:f>
        <x:v>0</x:v>
      </x:c>
      <x:c r="H48" s="18" t="n">
        <x:f>F48-G48</x:f>
        <x:v>361089.1228070175</x:v>
      </x:c>
      <x:c r="I48" s="18" t="n">
        <x:f>B48+H48</x:f>
        <x:v>15526832.280701771</x:v>
      </x:c>
      <x:c r="J48" s="7" t="n">
        <x:f>B48-D48-E48-G48</x:f>
        <x:v>12525232.280701771</x:v>
      </x:c>
    </x:row>
    <x:row r="49">
      <x:c r="A49" s="1" t="n">
        <x:v>44</x:v>
      </x:c>
      <x:c r="B49" s="17" t="n">
        <x:f>I48</x:f>
        <x:v>15526832.280701771</x:v>
      </x:c>
      <x:c r="C49" s="17" t="n">
        <x:f>IF(A49&gt;Assumptions!$B$21,Projection!$B$11,0)</x:f>
        <x:v>3001600</x:v>
      </x:c>
      <x:c r="D49" s="17" t="n">
        <x:f>IF(A49&gt;Assumptions!$B$22,Projection!$B$12,0)</x:f>
        <x:v>2160000</x:v>
      </x:c>
      <x:c r="E49" s="17" t="n">
        <x:f>SUM(Projection!$B$13:$B$15)+Projection!$B$18+Projection!$B$21+Projection!$B$23+Projection!$B$25</x:f>
        <x:v>480510.8771929825</x:v>
      </x:c>
      <x:c r="F49" s="18" t="n">
        <x:f>C49-D49-E49</x:f>
        <x:v>361089.1228070175</x:v>
      </x:c>
      <x:c r="G49" s="18" t="n">
        <x:f>IF(A49=1,Assumptions!$B$23,0)</x:f>
        <x:v>0</x:v>
      </x:c>
      <x:c r="H49" s="18" t="n">
        <x:f>F49-G49</x:f>
        <x:v>361089.1228070175</x:v>
      </x:c>
      <x:c r="I49" s="18" t="n">
        <x:f>B49+H49</x:f>
        <x:v>15887921.40350879</x:v>
      </x:c>
      <x:c r="J49" s="7" t="n">
        <x:f>B49-D49-E49-G49</x:f>
        <x:v>12886321.40350879</x:v>
      </x:c>
    </x:row>
    <x:row r="50">
      <x:c r="A50" s="1" t="n">
        <x:v>45</x:v>
      </x:c>
      <x:c r="B50" s="17" t="n">
        <x:f>I49</x:f>
        <x:v>15887921.40350879</x:v>
      </x:c>
      <x:c r="C50" s="17" t="n">
        <x:f>IF(A50&gt;Assumptions!$B$21,Projection!$B$11,0)</x:f>
        <x:v>3001600</x:v>
      </x:c>
      <x:c r="D50" s="17" t="n">
        <x:f>IF(A50&gt;Assumptions!$B$22,Projection!$B$12,0)</x:f>
        <x:v>2160000</x:v>
      </x:c>
      <x:c r="E50" s="17" t="n">
        <x:f>SUM(Projection!$B$13:$B$15)+Projection!$B$18+Projection!$B$21+Projection!$B$23+Projection!$B$25</x:f>
        <x:v>480510.8771929825</x:v>
      </x:c>
      <x:c r="F50" s="18" t="n">
        <x:f>C50-D50-E50</x:f>
        <x:v>361089.1228070175</x:v>
      </x:c>
      <x:c r="G50" s="18" t="n">
        <x:f>IF(A50=1,Assumptions!$B$23,0)</x:f>
        <x:v>0</x:v>
      </x:c>
      <x:c r="H50" s="18" t="n">
        <x:f>F50-G50</x:f>
        <x:v>361089.1228070175</x:v>
      </x:c>
      <x:c r="I50" s="18" t="n">
        <x:f>B50+H50</x:f>
        <x:v>16249010.526315808</x:v>
      </x:c>
      <x:c r="J50" s="7" t="n">
        <x:f>B50-D50-E50-G50</x:f>
        <x:v>13247410.526315808</x:v>
      </x:c>
    </x:row>
    <x:row r="51">
      <x:c r="A51" s="1" t="n">
        <x:v>46</x:v>
      </x:c>
      <x:c r="B51" s="17" t="n">
        <x:f>I50</x:f>
        <x:v>16249010.526315808</x:v>
      </x:c>
      <x:c r="C51" s="17" t="n">
        <x:f>IF(A51&gt;Assumptions!$B$21,Projection!$B$11,0)</x:f>
        <x:v>3001600</x:v>
      </x:c>
      <x:c r="D51" s="17" t="n">
        <x:f>IF(A51&gt;Assumptions!$B$22,Projection!$B$12,0)</x:f>
        <x:v>2160000</x:v>
      </x:c>
      <x:c r="E51" s="17" t="n">
        <x:f>SUM(Projection!$B$13:$B$15)+Projection!$B$18+Projection!$B$21+Projection!$B$23+Projection!$B$25</x:f>
        <x:v>480510.8771929825</x:v>
      </x:c>
      <x:c r="F51" s="18" t="n">
        <x:f>C51-D51-E51</x:f>
        <x:v>361089.1228070175</x:v>
      </x:c>
      <x:c r="G51" s="18" t="n">
        <x:f>IF(A51=1,Assumptions!$B$23,0)</x:f>
        <x:v>0</x:v>
      </x:c>
      <x:c r="H51" s="18" t="n">
        <x:f>F51-G51</x:f>
        <x:v>361089.1228070175</x:v>
      </x:c>
      <x:c r="I51" s="18" t="n">
        <x:f>B51+H51</x:f>
        <x:v>16610099.649122827</x:v>
      </x:c>
      <x:c r="J51" s="7" t="n">
        <x:f>B51-D51-E51-G51</x:f>
        <x:v>13608499.649122827</x:v>
      </x:c>
    </x:row>
    <x:row r="52">
      <x:c r="A52" s="1" t="n">
        <x:v>47</x:v>
      </x:c>
      <x:c r="B52" s="17" t="n">
        <x:f>I51</x:f>
        <x:v>16610099.649122827</x:v>
      </x:c>
      <x:c r="C52" s="17" t="n">
        <x:f>IF(A52&gt;Assumptions!$B$21,Projection!$B$11,0)</x:f>
        <x:v>3001600</x:v>
      </x:c>
      <x:c r="D52" s="17" t="n">
        <x:f>IF(A52&gt;Assumptions!$B$22,Projection!$B$12,0)</x:f>
        <x:v>2160000</x:v>
      </x:c>
      <x:c r="E52" s="17" t="n">
        <x:f>SUM(Projection!$B$13:$B$15)+Projection!$B$18+Projection!$B$21+Projection!$B$23+Projection!$B$25</x:f>
        <x:v>480510.8771929825</x:v>
      </x:c>
      <x:c r="F52" s="18" t="n">
        <x:f>C52-D52-E52</x:f>
        <x:v>361089.1228070175</x:v>
      </x:c>
      <x:c r="G52" s="18" t="n">
        <x:f>IF(A52=1,Assumptions!$B$23,0)</x:f>
        <x:v>0</x:v>
      </x:c>
      <x:c r="H52" s="18" t="n">
        <x:f>F52-G52</x:f>
        <x:v>361089.1228070175</x:v>
      </x:c>
      <x:c r="I52" s="18" t="n">
        <x:f>B52+H52</x:f>
        <x:v>16971188.771929845</x:v>
      </x:c>
      <x:c r="J52" s="7" t="n">
        <x:f>B52-D52-E52-G52</x:f>
        <x:v>13969588.771929845</x:v>
      </x:c>
    </x:row>
    <x:row r="53">
      <x:c r="A53" s="1" t="n">
        <x:v>48</x:v>
      </x:c>
      <x:c r="B53" s="17" t="n">
        <x:f>I52</x:f>
        <x:v>16971188.771929845</x:v>
      </x:c>
      <x:c r="C53" s="17" t="n">
        <x:f>IF(A53&gt;Assumptions!$B$21,Projection!$B$11,0)</x:f>
        <x:v>3001600</x:v>
      </x:c>
      <x:c r="D53" s="17" t="n">
        <x:f>IF(A53&gt;Assumptions!$B$22,Projection!$B$12,0)</x:f>
        <x:v>2160000</x:v>
      </x:c>
      <x:c r="E53" s="17" t="n">
        <x:f>SUM(Projection!$B$13:$B$15)+Projection!$B$18+Projection!$B$21+Projection!$B$23+Projection!$B$25</x:f>
        <x:v>480510.8771929825</x:v>
      </x:c>
      <x:c r="F53" s="18" t="n">
        <x:f>C53-D53-E53</x:f>
        <x:v>361089.1228070175</x:v>
      </x:c>
      <x:c r="G53" s="18" t="n">
        <x:f>IF(A53=1,Assumptions!$B$23,0)</x:f>
        <x:v>0</x:v>
      </x:c>
      <x:c r="H53" s="18" t="n">
        <x:f>F53-G53</x:f>
        <x:v>361089.1228070175</x:v>
      </x:c>
      <x:c r="I53" s="18" t="n">
        <x:f>B53+H53</x:f>
        <x:v>17332277.894736864</x:v>
      </x:c>
      <x:c r="J53" s="7" t="n">
        <x:f>B53-D53-E53-G53</x:f>
        <x:v>14330677.894736864</x:v>
      </x:c>
    </x:row>
    <x:row r="54">
      <x:c r="A54" s="1" t="n">
        <x:v>49</x:v>
      </x:c>
      <x:c r="B54" s="17" t="n">
        <x:f>I53</x:f>
        <x:v>17332277.894736864</x:v>
      </x:c>
      <x:c r="C54" s="17" t="n">
        <x:f>IF(A54&gt;Assumptions!$B$21,Projection!$B$11,0)</x:f>
        <x:v>3001600</x:v>
      </x:c>
      <x:c r="D54" s="17" t="n">
        <x:f>IF(A54&gt;Assumptions!$B$22,Projection!$B$12,0)</x:f>
        <x:v>2160000</x:v>
      </x:c>
      <x:c r="E54" s="17" t="n">
        <x:f>SUM(Projection!$B$13:$B$15)+Projection!$B$18+Projection!$B$21+Projection!$B$23+Projection!$B$25</x:f>
        <x:v>480510.8771929825</x:v>
      </x:c>
      <x:c r="F54" s="18" t="n">
        <x:f>C54-D54-E54</x:f>
        <x:v>361089.1228070175</x:v>
      </x:c>
      <x:c r="G54" s="18" t="n">
        <x:f>IF(A54=1,Assumptions!$B$23,0)</x:f>
        <x:v>0</x:v>
      </x:c>
      <x:c r="H54" s="18" t="n">
        <x:f>F54-G54</x:f>
        <x:v>361089.1228070175</x:v>
      </x:c>
      <x:c r="I54" s="18" t="n">
        <x:f>B54+H54</x:f>
        <x:v>17693367.017543882</x:v>
      </x:c>
      <x:c r="J54" s="7" t="n">
        <x:f>B54-D54-E54-G54</x:f>
        <x:v>14691767.017543882</x:v>
      </x:c>
    </x:row>
    <x:row r="55">
      <x:c r="A55" s="1" t="n">
        <x:v>50</x:v>
      </x:c>
      <x:c r="B55" s="17" t="n">
        <x:f>I54</x:f>
        <x:v>17693367.017543882</x:v>
      </x:c>
      <x:c r="C55" s="17" t="n">
        <x:f>IF(A55&gt;Assumptions!$B$21,Projection!$B$11,0)</x:f>
        <x:v>3001600</x:v>
      </x:c>
      <x:c r="D55" s="17" t="n">
        <x:f>IF(A55&gt;Assumptions!$B$22,Projection!$B$12,0)</x:f>
        <x:v>2160000</x:v>
      </x:c>
      <x:c r="E55" s="17" t="n">
        <x:f>SUM(Projection!$B$13:$B$15)+Projection!$B$18+Projection!$B$21+Projection!$B$23+Projection!$B$25</x:f>
        <x:v>480510.8771929825</x:v>
      </x:c>
      <x:c r="F55" s="18" t="n">
        <x:f>C55-D55-E55</x:f>
        <x:v>361089.1228070175</x:v>
      </x:c>
      <x:c r="G55" s="18" t="n">
        <x:f>IF(A55=1,Assumptions!$B$23,0)</x:f>
        <x:v>0</x:v>
      </x:c>
      <x:c r="H55" s="18" t="n">
        <x:f>F55-G55</x:f>
        <x:v>361089.1228070175</x:v>
      </x:c>
      <x:c r="I55" s="18" t="n">
        <x:f>B55+H55</x:f>
        <x:v>18054456.1403509</x:v>
      </x:c>
      <x:c r="J55" s="7" t="n">
        <x:f>B55-D55-E55-G55</x:f>
        <x:v>15052856.1403509</x:v>
      </x:c>
    </x:row>
    <x:row r="56">
      <x:c r="A56" s="1" t="n">
        <x:v>51</x:v>
      </x:c>
      <x:c r="B56" s="17" t="n">
        <x:f>I55</x:f>
        <x:v>18054456.1403509</x:v>
      </x:c>
      <x:c r="C56" s="17" t="n">
        <x:f>IF(A56&gt;Assumptions!$B$21,Projection!$B$11,0)</x:f>
        <x:v>3001600</x:v>
      </x:c>
      <x:c r="D56" s="17" t="n">
        <x:f>IF(A56&gt;Assumptions!$B$22,Projection!$B$12,0)</x:f>
        <x:v>2160000</x:v>
      </x:c>
      <x:c r="E56" s="17" t="n">
        <x:f>SUM(Projection!$B$13:$B$15)+Projection!$B$18+Projection!$B$21+Projection!$B$23+Projection!$B$25</x:f>
        <x:v>480510.8771929825</x:v>
      </x:c>
      <x:c r="F56" s="18" t="n">
        <x:f>C56-D56-E56</x:f>
        <x:v>361089.1228070175</x:v>
      </x:c>
      <x:c r="G56" s="18" t="n">
        <x:f>IF(A56=1,Assumptions!$B$23,0)</x:f>
        <x:v>0</x:v>
      </x:c>
      <x:c r="H56" s="18" t="n">
        <x:f>F56-G56</x:f>
        <x:v>361089.1228070175</x:v>
      </x:c>
      <x:c r="I56" s="18" t="n">
        <x:f>B56+H56</x:f>
        <x:v>18415545.26315792</x:v>
      </x:c>
      <x:c r="J56" s="7" t="n">
        <x:f>B56-D56-E56-G56</x:f>
        <x:v>15413945.263157919</x:v>
      </x:c>
    </x:row>
    <x:row r="57">
      <x:c r="A57" s="1" t="n">
        <x:v>52</x:v>
      </x:c>
      <x:c r="B57" s="17" t="n">
        <x:f>I56</x:f>
        <x:v>18415545.26315792</x:v>
      </x:c>
      <x:c r="C57" s="17" t="n">
        <x:f>IF(A57&gt;Assumptions!$B$21,Projection!$B$11,0)</x:f>
        <x:v>3001600</x:v>
      </x:c>
      <x:c r="D57" s="17" t="n">
        <x:f>IF(A57&gt;Assumptions!$B$22,Projection!$B$12,0)</x:f>
        <x:v>2160000</x:v>
      </x:c>
      <x:c r="E57" s="17" t="n">
        <x:f>SUM(Projection!$B$13:$B$15)+Projection!$B$18+Projection!$B$21+Projection!$B$23+Projection!$B$25</x:f>
        <x:v>480510.8771929825</x:v>
      </x:c>
      <x:c r="F57" s="18" t="n">
        <x:f>C57-D57-E57</x:f>
        <x:v>361089.1228070175</x:v>
      </x:c>
      <x:c r="G57" s="18" t="n">
        <x:f>IF(A57=1,Assumptions!$B$23,0)</x:f>
        <x:v>0</x:v>
      </x:c>
      <x:c r="H57" s="18" t="n">
        <x:f>F57-G57</x:f>
        <x:v>361089.1228070175</x:v>
      </x:c>
      <x:c r="I57" s="18" t="n">
        <x:f>B57+H57</x:f>
        <x:v>18776634.385964938</x:v>
      </x:c>
      <x:c r="J57" s="7" t="n">
        <x:f>B57-D57-E57-G57</x:f>
        <x:v>15775034.385964938</x:v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 t="str">
        <x:v>Monthly summary: 4, 4 and 5 weeks each quarter</x:v>
      </x:c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8" customHeight="1">
      <x:c r="A63" s="12" t="str">
        <x:v>Month</x:v>
      </x:c>
      <x:c r="B63" s="12" t="str">
        <x:v>Start week</x:v>
      </x:c>
      <x:c r="C63" s="12" t="str">
        <x:v>Weeks</x:v>
      </x:c>
      <x:c r="D63" s="12" t="str">
        <x:v>Opening cash</x:v>
      </x:c>
      <x:c r="E63" s="12" t="str">
        <x:v>Collections</x:v>
      </x:c>
      <x:c r="F63" s="12" t="str">
        <x:v>Livestock paid</x:v>
      </x:c>
      <x:c r="G63" s="12" t="str">
        <x:v>Other cash costs</x:v>
      </x:c>
      <x:c r="H63" s="12" t="str">
        <x:v>Acquisition/setup</x:v>
      </x:c>
      <x:c r="I63" s="12" t="str">
        <x:v>Net cash</x:v>
      </x:c>
      <x:c r="J63" s="12" t="str">
        <x:v>Closing cash</x:v>
      </x:c>
    </x:row>
    <x:row r="64">
      <x:c r="A64" s="1" t="str">
        <x:v>M1</x:v>
      </x:c>
      <x:c r="B64" s="1" t="n">
        <x:v>1</x:v>
      </x:c>
      <x:c r="C64" s="1" t="n">
        <x:v>4</x:v>
      </x:c>
      <x:c r="D64" s="7" t="n">
        <x:f>B6</x:f>
        <x:v>0</x:v>
      </x:c>
      <x:c r="E64" s="7" t="n">
        <x:f>SUM(C6:C9)</x:f>
        <x:v>12006400</x:v>
      </x:c>
      <x:c r="F64" s="7" t="n">
        <x:f>SUM(D6:D9)</x:f>
        <x:v>8640000</x:v>
      </x:c>
      <x:c r="G64" s="7" t="n">
        <x:f>SUM(E6:E9)</x:f>
        <x:v>1922043.50877193</x:v>
      </x:c>
      <x:c r="H64" s="7" t="n">
        <x:f>SUM(G6:G9)</x:f>
        <x:v>0</x:v>
      </x:c>
      <x:c r="I64" s="7" t="n">
        <x:f>SUM(H6:H9)</x:f>
        <x:v>1444356.49122807</x:v>
      </x:c>
      <x:c r="J64" s="7" t="n">
        <x:f>I9</x:f>
        <x:v>1444356.49122807</x:v>
      </x:c>
    </x:row>
    <x:row r="65">
      <x:c r="A65" s="1" t="str">
        <x:v>M2</x:v>
      </x:c>
      <x:c r="B65" s="1" t="n">
        <x:v>5</x:v>
      </x:c>
      <x:c r="C65" s="1" t="n">
        <x:v>4</x:v>
      </x:c>
      <x:c r="D65" s="7" t="n">
        <x:f>B10</x:f>
        <x:v>1444356.49122807</x:v>
      </x:c>
      <x:c r="E65" s="7" t="n">
        <x:f>SUM(C10:C13)</x:f>
        <x:v>12006400</x:v>
      </x:c>
      <x:c r="F65" s="7" t="n">
        <x:f>SUM(D10:D13)</x:f>
        <x:v>8640000</x:v>
      </x:c>
      <x:c r="G65" s="7" t="n">
        <x:f>SUM(E10:E13)</x:f>
        <x:v>1922043.50877193</x:v>
      </x:c>
      <x:c r="H65" s="7" t="n">
        <x:f>SUM(G10:G13)</x:f>
        <x:v>0</x:v>
      </x:c>
      <x:c r="I65" s="7" t="n">
        <x:f>SUM(H10:H13)</x:f>
        <x:v>1444356.49122807</x:v>
      </x:c>
      <x:c r="J65" s="7" t="n">
        <x:f>I13</x:f>
        <x:v>2888712.98245614</x:v>
      </x:c>
    </x:row>
    <x:row r="66">
      <x:c r="A66" s="1" t="str">
        <x:v>M3</x:v>
      </x:c>
      <x:c r="B66" s="1" t="n">
        <x:v>9</x:v>
      </x:c>
      <x:c r="C66" s="1" t="n">
        <x:v>5</x:v>
      </x:c>
      <x:c r="D66" s="7" t="n">
        <x:f>B14</x:f>
        <x:v>2888712.98245614</x:v>
      </x:c>
      <x:c r="E66" s="7" t="n">
        <x:f>SUM(C14:C18)</x:f>
        <x:v>15008000</x:v>
      </x:c>
      <x:c r="F66" s="7" t="n">
        <x:f>SUM(D14:D18)</x:f>
        <x:v>10800000</x:v>
      </x:c>
      <x:c r="G66" s="7" t="n">
        <x:f>SUM(E14:E18)</x:f>
        <x:v>2402554.3859649124</x:v>
      </x:c>
      <x:c r="H66" s="7" t="n">
        <x:f>SUM(G14:G18)</x:f>
        <x:v>0</x:v>
      </x:c>
      <x:c r="I66" s="7" t="n">
        <x:f>SUM(H14:H18)</x:f>
        <x:v>1805445.6140350876</x:v>
      </x:c>
      <x:c r="J66" s="7" t="n">
        <x:f>I18</x:f>
        <x:v>4694158.596491228</x:v>
      </x:c>
    </x:row>
    <x:row r="67">
      <x:c r="A67" s="1" t="str">
        <x:v>M4</x:v>
      </x:c>
      <x:c r="B67" s="1" t="n">
        <x:v>14</x:v>
      </x:c>
      <x:c r="C67" s="1" t="n">
        <x:v>4</x:v>
      </x:c>
      <x:c r="D67" s="7" t="n">
        <x:f>B19</x:f>
        <x:v>4694158.596491228</x:v>
      </x:c>
      <x:c r="E67" s="7" t="n">
        <x:f>SUM(C19:C22)</x:f>
        <x:v>12006400</x:v>
      </x:c>
      <x:c r="F67" s="7" t="n">
        <x:f>SUM(D19:D22)</x:f>
        <x:v>8640000</x:v>
      </x:c>
      <x:c r="G67" s="7" t="n">
        <x:f>SUM(E19:E22)</x:f>
        <x:v>1922043.50877193</x:v>
      </x:c>
      <x:c r="H67" s="7" t="n">
        <x:f>SUM(G19:G22)</x:f>
        <x:v>0</x:v>
      </x:c>
      <x:c r="I67" s="7" t="n">
        <x:f>SUM(H19:H22)</x:f>
        <x:v>1444356.49122807</x:v>
      </x:c>
      <x:c r="J67" s="7" t="n">
        <x:f>I22</x:f>
        <x:v>6138515.087719298</x:v>
      </x:c>
    </x:row>
    <x:row r="68">
      <x:c r="A68" s="1" t="str">
        <x:v>M5</x:v>
      </x:c>
      <x:c r="B68" s="1" t="n">
        <x:v>18</x:v>
      </x:c>
      <x:c r="C68" s="1" t="n">
        <x:v>4</x:v>
      </x:c>
      <x:c r="D68" s="7" t="n">
        <x:f>B23</x:f>
        <x:v>6138515.087719298</x:v>
      </x:c>
      <x:c r="E68" s="7" t="n">
        <x:f>SUM(C23:C26)</x:f>
        <x:v>12006400</x:v>
      </x:c>
      <x:c r="F68" s="7" t="n">
        <x:f>SUM(D23:D26)</x:f>
        <x:v>8640000</x:v>
      </x:c>
      <x:c r="G68" s="7" t="n">
        <x:f>SUM(E23:E26)</x:f>
        <x:v>1922043.50877193</x:v>
      </x:c>
      <x:c r="H68" s="7" t="n">
        <x:f>SUM(G23:G26)</x:f>
        <x:v>0</x:v>
      </x:c>
      <x:c r="I68" s="7" t="n">
        <x:f>SUM(H23:H26)</x:f>
        <x:v>1444356.49122807</x:v>
      </x:c>
      <x:c r="J68" s="7" t="n">
        <x:f>I26</x:f>
        <x:v>7582871.578947368</x:v>
      </x:c>
    </x:row>
    <x:row r="69">
      <x:c r="A69" s="1" t="str">
        <x:v>M6</x:v>
      </x:c>
      <x:c r="B69" s="1" t="n">
        <x:v>22</x:v>
      </x:c>
      <x:c r="C69" s="1" t="n">
        <x:v>5</x:v>
      </x:c>
      <x:c r="D69" s="7" t="n">
        <x:f>B27</x:f>
        <x:v>7582871.578947368</x:v>
      </x:c>
      <x:c r="E69" s="7" t="n">
        <x:f>SUM(C27:C31)</x:f>
        <x:v>15008000</x:v>
      </x:c>
      <x:c r="F69" s="7" t="n">
        <x:f>SUM(D27:D31)</x:f>
        <x:v>10800000</x:v>
      </x:c>
      <x:c r="G69" s="7" t="n">
        <x:f>SUM(E27:E31)</x:f>
        <x:v>2402554.3859649124</x:v>
      </x:c>
      <x:c r="H69" s="7" t="n">
        <x:f>SUM(G27:G31)</x:f>
        <x:v>0</x:v>
      </x:c>
      <x:c r="I69" s="7" t="n">
        <x:f>SUM(H27:H31)</x:f>
        <x:v>1805445.6140350876</x:v>
      </x:c>
      <x:c r="J69" s="7" t="n">
        <x:f>I31</x:f>
        <x:v>9388317.192982458</x:v>
      </x:c>
    </x:row>
    <x:row r="70">
      <x:c r="A70" s="1" t="str">
        <x:v>M7</x:v>
      </x:c>
      <x:c r="B70" s="1" t="n">
        <x:v>27</x:v>
      </x:c>
      <x:c r="C70" s="1" t="n">
        <x:v>4</x:v>
      </x:c>
      <x:c r="D70" s="7" t="n">
        <x:f>B32</x:f>
        <x:v>9388317.192982458</x:v>
      </x:c>
      <x:c r="E70" s="7" t="n">
        <x:f>SUM(C32:C35)</x:f>
        <x:v>12006400</x:v>
      </x:c>
      <x:c r="F70" s="7" t="n">
        <x:f>SUM(D32:D35)</x:f>
        <x:v>8640000</x:v>
      </x:c>
      <x:c r="G70" s="7" t="n">
        <x:f>SUM(E32:E35)</x:f>
        <x:v>1922043.50877193</x:v>
      </x:c>
      <x:c r="H70" s="7" t="n">
        <x:f>SUM(G32:G35)</x:f>
        <x:v>0</x:v>
      </x:c>
      <x:c r="I70" s="7" t="n">
        <x:f>SUM(H32:H35)</x:f>
        <x:v>1444356.49122807</x:v>
      </x:c>
      <x:c r="J70" s="7" t="n">
        <x:f>I35</x:f>
        <x:v>10832673.684210531</x:v>
      </x:c>
    </x:row>
    <x:row r="71">
      <x:c r="A71" s="1" t="str">
        <x:v>M8</x:v>
      </x:c>
      <x:c r="B71" s="1" t="n">
        <x:v>31</x:v>
      </x:c>
      <x:c r="C71" s="1" t="n">
        <x:v>4</x:v>
      </x:c>
      <x:c r="D71" s="7" t="n">
        <x:f>B36</x:f>
        <x:v>10832673.684210531</x:v>
      </x:c>
      <x:c r="E71" s="7" t="n">
        <x:f>SUM(C36:C39)</x:f>
        <x:v>12006400</x:v>
      </x:c>
      <x:c r="F71" s="7" t="n">
        <x:f>SUM(D36:D39)</x:f>
        <x:v>8640000</x:v>
      </x:c>
      <x:c r="G71" s="7" t="n">
        <x:f>SUM(E36:E39)</x:f>
        <x:v>1922043.50877193</x:v>
      </x:c>
      <x:c r="H71" s="7" t="n">
        <x:f>SUM(G36:G39)</x:f>
        <x:v>0</x:v>
      </x:c>
      <x:c r="I71" s="7" t="n">
        <x:f>SUM(H36:H39)</x:f>
        <x:v>1444356.49122807</x:v>
      </x:c>
      <x:c r="J71" s="7" t="n">
        <x:f>I39</x:f>
        <x:v>12277030.175438605</x:v>
      </x:c>
    </x:row>
    <x:row r="72">
      <x:c r="A72" s="1" t="str">
        <x:v>M9</x:v>
      </x:c>
      <x:c r="B72" s="1" t="n">
        <x:v>35</x:v>
      </x:c>
      <x:c r="C72" s="1" t="n">
        <x:v>5</x:v>
      </x:c>
      <x:c r="D72" s="7" t="n">
        <x:f>B40</x:f>
        <x:v>12277030.175438605</x:v>
      </x:c>
      <x:c r="E72" s="7" t="n">
        <x:f>SUM(C40:C44)</x:f>
        <x:v>15008000</x:v>
      </x:c>
      <x:c r="F72" s="7" t="n">
        <x:f>SUM(D40:D44)</x:f>
        <x:v>10800000</x:v>
      </x:c>
      <x:c r="G72" s="7" t="n">
        <x:f>SUM(E40:E44)</x:f>
        <x:v>2402554.3859649124</x:v>
      </x:c>
      <x:c r="H72" s="7" t="n">
        <x:f>SUM(G40:G44)</x:f>
        <x:v>0</x:v>
      </x:c>
      <x:c r="I72" s="7" t="n">
        <x:f>SUM(H40:H44)</x:f>
        <x:v>1805445.6140350876</x:v>
      </x:c>
      <x:c r="J72" s="7" t="n">
        <x:f>I44</x:f>
        <x:v>14082475.789473698</x:v>
      </x:c>
    </x:row>
    <x:row r="73">
      <x:c r="A73" s="1" t="str">
        <x:v>M10</x:v>
      </x:c>
      <x:c r="B73" s="1" t="n">
        <x:v>40</x:v>
      </x:c>
      <x:c r="C73" s="1" t="n">
        <x:v>4</x:v>
      </x:c>
      <x:c r="D73" s="7" t="n">
        <x:f>B45</x:f>
        <x:v>14082475.789473698</x:v>
      </x:c>
      <x:c r="E73" s="7" t="n">
        <x:f>SUM(C45:C48)</x:f>
        <x:v>12006400</x:v>
      </x:c>
      <x:c r="F73" s="7" t="n">
        <x:f>SUM(D45:D48)</x:f>
        <x:v>8640000</x:v>
      </x:c>
      <x:c r="G73" s="7" t="n">
        <x:f>SUM(E45:E48)</x:f>
        <x:v>1922043.50877193</x:v>
      </x:c>
      <x:c r="H73" s="7" t="n">
        <x:f>SUM(G45:G48)</x:f>
        <x:v>0</x:v>
      </x:c>
      <x:c r="I73" s="7" t="n">
        <x:f>SUM(H45:H48)</x:f>
        <x:v>1444356.49122807</x:v>
      </x:c>
      <x:c r="J73" s="7" t="n">
        <x:f>I48</x:f>
        <x:v>15526832.280701771</x:v>
      </x:c>
    </x:row>
    <x:row r="74">
      <x:c r="A74" s="1" t="str">
        <x:v>M11</x:v>
      </x:c>
      <x:c r="B74" s="1" t="n">
        <x:v>44</x:v>
      </x:c>
      <x:c r="C74" s="1" t="n">
        <x:v>4</x:v>
      </x:c>
      <x:c r="D74" s="7" t="n">
        <x:f>B49</x:f>
        <x:v>15526832.280701771</x:v>
      </x:c>
      <x:c r="E74" s="7" t="n">
        <x:f>SUM(C49:C52)</x:f>
        <x:v>12006400</x:v>
      </x:c>
      <x:c r="F74" s="7" t="n">
        <x:f>SUM(D49:D52)</x:f>
        <x:v>8640000</x:v>
      </x:c>
      <x:c r="G74" s="7" t="n">
        <x:f>SUM(E49:E52)</x:f>
        <x:v>1922043.50877193</x:v>
      </x:c>
      <x:c r="H74" s="7" t="n">
        <x:f>SUM(G49:G52)</x:f>
        <x:v>0</x:v>
      </x:c>
      <x:c r="I74" s="7" t="n">
        <x:f>SUM(H49:H52)</x:f>
        <x:v>1444356.49122807</x:v>
      </x:c>
      <x:c r="J74" s="7" t="n">
        <x:f>I52</x:f>
        <x:v>16971188.771929845</x:v>
      </x:c>
    </x:row>
    <x:row r="75">
      <x:c r="A75" s="1" t="str">
        <x:v>M12</x:v>
      </x:c>
      <x:c r="B75" s="1" t="n">
        <x:v>48</x:v>
      </x:c>
      <x:c r="C75" s="1" t="n">
        <x:v>5</x:v>
      </x:c>
      <x:c r="D75" s="7" t="n">
        <x:f>B53</x:f>
        <x:v>16971188.771929845</x:v>
      </x:c>
      <x:c r="E75" s="7" t="n">
        <x:f>SUM(C53:C57)</x:f>
        <x:v>15008000</x:v>
      </x:c>
      <x:c r="F75" s="7" t="n">
        <x:f>SUM(D53:D57)</x:f>
        <x:v>10800000</x:v>
      </x:c>
      <x:c r="G75" s="7" t="n">
        <x:f>SUM(E53:E57)</x:f>
        <x:v>2402554.3859649124</x:v>
      </x:c>
      <x:c r="H75" s="7" t="n">
        <x:f>SUM(G53:G57)</x:f>
        <x:v>0</x:v>
      </x:c>
      <x:c r="I75" s="7" t="n">
        <x:f>SUM(H53:H57)</x:f>
        <x:v>1805445.6140350876</x:v>
      </x:c>
      <x:c r="J75" s="7" t="n">
        <x:f>I57</x:f>
        <x:v>18776634.385964938</x:v>
      </x:c>
    </x:row>
    <x:row r="76">
      <x:c r="A76" s="1"/>
      <x:c r="B76" s="1"/>
      <x:c r="C76" s="1"/>
      <x:c r="D76" s="7"/>
      <x:c r="E76" s="7"/>
      <x:c r="F76" s="7"/>
      <x:c r="G76" s="7"/>
      <x:c r="H76" s="7"/>
      <x:c r="I76" s="7"/>
      <x:c r="J76" s="7"/>
    </x:row>
    <x:row r="77">
      <x:c r="A77" s="1"/>
      <x:c r="B77" s="1"/>
      <x:c r="C77" s="1"/>
      <x:c r="D77" s="7"/>
      <x:c r="E77" s="7"/>
      <x:c r="F77" s="7"/>
      <x:c r="G77" s="7"/>
      <x:c r="H77" s="7"/>
      <x:c r="I77" s="7"/>
      <x:c r="J77" s="7"/>
    </x:row>
    <x:row r="78">
      <x:c r="A78" s="1" t="str">
        <x:v>Year 1</x:v>
      </x:c>
      <x:c r="B78" s="1"/>
      <x:c r="C78" s="1" t="n">
        <x:v>52</x:v>
      </x:c>
      <x:c r="D78" s="7" t="n">
        <x:f>B6</x:f>
        <x:v>0</x:v>
      </x:c>
      <x:c r="E78" s="7" t="n">
        <x:f>SUM(C6:C57)</x:f>
        <x:v>156083200</x:v>
      </x:c>
      <x:c r="F78" s="7" t="n">
        <x:f>SUM(D6:D57)</x:f>
        <x:v>112320000</x:v>
      </x:c>
      <x:c r="G78" s="7" t="n">
        <x:f>SUM(E6:E57)</x:f>
        <x:v>24986565.61403506</x:v>
      </x:c>
      <x:c r="H78" s="7" t="n">
        <x:f>SUM(G6:G57)</x:f>
        <x:v>0</x:v>
      </x:c>
      <x:c r="I78" s="7" t="n">
        <x:f>SUM(H6:H57)</x:f>
        <x:v>18776634.385964938</x:v>
      </x:c>
      <x:c r="J78" s="7" t="n">
        <x:f>I57</x:f>
        <x:v>18776634.385964938</x:v>
      </x:c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</x:sheetData>
  <x:conditionalFormatting sqref="I6:I57">
    <x:cfRule type="cellIs" dxfId="0" priority="1" operator="lessThan">
      <x:formula>0</x:formula>
    </x:cfRule>
  </x:conditionalFormatting>
  <x:pageMargins left="0.7" right="0.7" top="0.75" bottom="0.75" header="0.3" footer="0.3"/>
</x:worksheet>
</file>